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mc:AlternateContent xmlns:mc="http://schemas.openxmlformats.org/markup-compatibility/2006">
    <mc:Choice Requires="x15">
      <x15ac:absPath xmlns:x15ac="http://schemas.microsoft.com/office/spreadsheetml/2010/11/ac" url="C:\Users\HVANRENT\Documents\Misc\HéloGlow\"/>
    </mc:Choice>
  </mc:AlternateContent>
  <xr:revisionPtr revIDLastSave="0" documentId="13_ncr:1_{C40F8958-DDD7-42BE-B526-0E0B1D2272D0}" xr6:coauthVersionLast="47" xr6:coauthVersionMax="47" xr10:uidLastSave="{00000000-0000-0000-0000-000000000000}"/>
  <bookViews>
    <workbookView showSheetTabs="0" xWindow="4224" yWindow="1212" windowWidth="23040" windowHeight="12120" xr2:uid="{00000000-000D-0000-FFFF-FFFF00000000}"/>
  </bookViews>
  <sheets>
    <sheet name="Newsletter Carte Glow" sheetId="11" r:id="rId1"/>
    <sheet name="Lexique" sheetId="14" r:id="rId2"/>
    <sheet name="Données sources" sheetId="3" r:id="rId3"/>
    <sheet name="Données brutes" sheetId="1" r:id="rId4"/>
  </sheets>
  <definedNames>
    <definedName name="_xlnm._FilterDatabase" localSheetId="3" hidden="1">'Données brutes'!$A$1:$AY$590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84" i="11" l="1"/>
  <c r="Q27" i="1"/>
  <c r="AU27" i="1" s="1"/>
  <c r="R27" i="1"/>
  <c r="AV27" i="1" s="1"/>
  <c r="S27" i="1"/>
  <c r="AW27" i="1" s="1"/>
  <c r="T27" i="1"/>
  <c r="AX27" i="1" s="1"/>
  <c r="U27" i="1"/>
  <c r="AY27" i="1" s="1"/>
  <c r="Q28" i="1"/>
  <c r="AU28" i="1" s="1"/>
  <c r="R28" i="1"/>
  <c r="AV28" i="1" s="1"/>
  <c r="S28" i="1"/>
  <c r="AW28" i="1" s="1"/>
  <c r="T28" i="1"/>
  <c r="AX28" i="1" s="1"/>
  <c r="U28" i="1"/>
  <c r="AY28" i="1" s="1"/>
  <c r="Q29" i="1"/>
  <c r="AU29" i="1" s="1"/>
  <c r="R29" i="1"/>
  <c r="AV29" i="1" s="1"/>
  <c r="S29" i="1"/>
  <c r="AW29" i="1" s="1"/>
  <c r="T29" i="1"/>
  <c r="AX29" i="1" s="1"/>
  <c r="U29" i="1"/>
  <c r="AY29" i="1" s="1"/>
  <c r="Q30" i="1"/>
  <c r="AU30" i="1" s="1"/>
  <c r="R30" i="1"/>
  <c r="AV30" i="1" s="1"/>
  <c r="S30" i="1"/>
  <c r="AW30" i="1" s="1"/>
  <c r="T30" i="1"/>
  <c r="AX30" i="1" s="1"/>
  <c r="U30" i="1"/>
  <c r="AY30" i="1" s="1"/>
  <c r="Q31" i="1"/>
  <c r="AU31" i="1" s="1"/>
  <c r="R31" i="1"/>
  <c r="AV31" i="1" s="1"/>
  <c r="S31" i="1"/>
  <c r="AW31" i="1" s="1"/>
  <c r="T31" i="1"/>
  <c r="AX31" i="1" s="1"/>
  <c r="U31" i="1"/>
  <c r="AY31" i="1" s="1"/>
  <c r="Q32" i="1"/>
  <c r="AU32" i="1" s="1"/>
  <c r="R32" i="1"/>
  <c r="AV32" i="1" s="1"/>
  <c r="S32" i="1"/>
  <c r="AW32" i="1" s="1"/>
  <c r="T32" i="1"/>
  <c r="AX32" i="1" s="1"/>
  <c r="U32" i="1"/>
  <c r="AY32" i="1" s="1"/>
  <c r="Q33" i="1"/>
  <c r="AU33" i="1" s="1"/>
  <c r="R33" i="1"/>
  <c r="AV33" i="1" s="1"/>
  <c r="S33" i="1"/>
  <c r="AW33" i="1" s="1"/>
  <c r="T33" i="1"/>
  <c r="AX33" i="1" s="1"/>
  <c r="U33" i="1"/>
  <c r="AY33" i="1" s="1"/>
  <c r="Q34" i="1"/>
  <c r="AU34" i="1" s="1"/>
  <c r="R34" i="1"/>
  <c r="AV34" i="1" s="1"/>
  <c r="S34" i="1"/>
  <c r="AW34" i="1" s="1"/>
  <c r="T34" i="1"/>
  <c r="AX34" i="1" s="1"/>
  <c r="U34" i="1"/>
  <c r="AY34" i="1" s="1"/>
  <c r="Q35" i="1"/>
  <c r="AU35" i="1" s="1"/>
  <c r="R35" i="1"/>
  <c r="AV35" i="1" s="1"/>
  <c r="S35" i="1"/>
  <c r="AW35" i="1" s="1"/>
  <c r="T35" i="1"/>
  <c r="AX35" i="1" s="1"/>
  <c r="U35" i="1"/>
  <c r="AY35" i="1" s="1"/>
  <c r="Q36" i="1"/>
  <c r="AU36" i="1" s="1"/>
  <c r="R36" i="1"/>
  <c r="AV36" i="1" s="1"/>
  <c r="S36" i="1"/>
  <c r="AW36" i="1" s="1"/>
  <c r="T36" i="1"/>
  <c r="AX36" i="1" s="1"/>
  <c r="U36" i="1"/>
  <c r="AY36" i="1" s="1"/>
  <c r="Q37" i="1"/>
  <c r="AU37" i="1" s="1"/>
  <c r="R37" i="1"/>
  <c r="AV37" i="1" s="1"/>
  <c r="S37" i="1"/>
  <c r="AW37" i="1" s="1"/>
  <c r="T37" i="1"/>
  <c r="AX37" i="1" s="1"/>
  <c r="U37" i="1"/>
  <c r="AY37" i="1" s="1"/>
  <c r="U26" i="1"/>
  <c r="AY26" i="1" s="1"/>
  <c r="T26" i="1"/>
  <c r="AX26" i="1" s="1"/>
  <c r="S26" i="1"/>
  <c r="AW26" i="1" s="1"/>
  <c r="R26" i="1"/>
  <c r="AV26" i="1" s="1"/>
  <c r="Q26" i="1"/>
  <c r="AU26" i="1" s="1"/>
  <c r="Q15" i="1"/>
  <c r="R15" i="1"/>
  <c r="S15" i="1"/>
  <c r="T15" i="1"/>
  <c r="U15" i="1"/>
  <c r="Q16" i="1"/>
  <c r="R16" i="1"/>
  <c r="S16" i="1"/>
  <c r="T16" i="1"/>
  <c r="U16" i="1"/>
  <c r="Q17" i="1"/>
  <c r="R17" i="1"/>
  <c r="S17" i="1"/>
  <c r="T17" i="1"/>
  <c r="U17" i="1"/>
  <c r="Q18" i="1"/>
  <c r="R18" i="1"/>
  <c r="S18" i="1"/>
  <c r="T18" i="1"/>
  <c r="U18" i="1"/>
  <c r="Q19" i="1"/>
  <c r="R19" i="1"/>
  <c r="S19" i="1"/>
  <c r="T19" i="1"/>
  <c r="U19" i="1"/>
  <c r="Q20" i="1"/>
  <c r="R20" i="1"/>
  <c r="S20" i="1"/>
  <c r="T20" i="1"/>
  <c r="U20" i="1"/>
  <c r="Q21" i="1"/>
  <c r="R21" i="1"/>
  <c r="S21" i="1"/>
  <c r="T21" i="1"/>
  <c r="U21" i="1"/>
  <c r="Q22" i="1"/>
  <c r="R22" i="1"/>
  <c r="S22" i="1"/>
  <c r="T22" i="1"/>
  <c r="U22" i="1"/>
  <c r="Q23" i="1"/>
  <c r="R23" i="1"/>
  <c r="S23" i="1"/>
  <c r="T23" i="1"/>
  <c r="U23" i="1"/>
  <c r="Q24" i="1"/>
  <c r="R24" i="1"/>
  <c r="S24" i="1"/>
  <c r="T24" i="1"/>
  <c r="U24" i="1"/>
  <c r="Q25" i="1"/>
  <c r="R25" i="1"/>
  <c r="S25" i="1"/>
  <c r="T25" i="1"/>
  <c r="U25" i="1"/>
  <c r="U14" i="1"/>
  <c r="T14" i="1"/>
  <c r="S14" i="1"/>
  <c r="R14" i="1"/>
  <c r="Q14" i="1"/>
  <c r="A556" i="1"/>
  <c r="A113" i="1"/>
  <c r="A114" i="1"/>
  <c r="A557" i="1"/>
  <c r="A558" i="1"/>
  <c r="A115" i="1"/>
  <c r="A116" i="1"/>
  <c r="A559" i="1"/>
  <c r="A117" i="1"/>
  <c r="A118" i="1"/>
  <c r="A560" i="1"/>
  <c r="A119" i="1"/>
  <c r="A120" i="1"/>
  <c r="A561" i="1"/>
  <c r="A121" i="1"/>
  <c r="A562" i="1"/>
  <c r="A122" i="1"/>
  <c r="A563" i="1"/>
  <c r="A564" i="1"/>
  <c r="A565" i="1"/>
  <c r="A123" i="1"/>
  <c r="A566" i="1"/>
  <c r="A124" i="1"/>
  <c r="A567" i="1"/>
  <c r="A125" i="1"/>
  <c r="A568" i="1"/>
  <c r="A126" i="1"/>
  <c r="A569" i="1"/>
  <c r="A127" i="1"/>
  <c r="A570" i="1"/>
  <c r="A571" i="1"/>
  <c r="A572" i="1"/>
  <c r="A573" i="1"/>
  <c r="A574" i="1"/>
  <c r="A128" i="1"/>
  <c r="A575" i="1"/>
  <c r="A576" i="1"/>
  <c r="A129" i="1"/>
  <c r="A577" i="1"/>
  <c r="A578" i="1"/>
  <c r="A130" i="1"/>
  <c r="A579" i="1"/>
  <c r="A580" i="1"/>
  <c r="A131" i="1"/>
  <c r="A132" i="1"/>
  <c r="A581" i="1"/>
  <c r="A133" i="1"/>
  <c r="A582" i="1"/>
  <c r="A134" i="1"/>
  <c r="A135" i="1"/>
  <c r="A136" i="1"/>
  <c r="A583" i="1"/>
  <c r="A137" i="1"/>
  <c r="A138" i="1"/>
  <c r="A139" i="1"/>
  <c r="A584" i="1"/>
  <c r="A140" i="1"/>
  <c r="A141" i="1"/>
  <c r="A585" i="1"/>
  <c r="A586" i="1"/>
  <c r="A587" i="1"/>
  <c r="A588" i="1"/>
  <c r="A142" i="1"/>
  <c r="A143" i="1"/>
  <c r="A144" i="1"/>
  <c r="A589" i="1"/>
  <c r="A145" i="1"/>
  <c r="A590" i="1"/>
  <c r="A146" i="1"/>
  <c r="A147" i="1"/>
  <c r="A148" i="1"/>
  <c r="A7" i="1"/>
  <c r="A9" i="1"/>
  <c r="A8" i="1"/>
  <c r="A5" i="1"/>
  <c r="A10" i="1"/>
  <c r="A13" i="1"/>
  <c r="A4" i="1"/>
  <c r="A11" i="1"/>
  <c r="A6" i="1"/>
  <c r="A2" i="1"/>
  <c r="A12" i="1"/>
  <c r="A3" i="1"/>
  <c r="A25" i="1"/>
  <c r="A21" i="1"/>
  <c r="A36" i="1"/>
  <c r="A23" i="1"/>
  <c r="A29" i="1"/>
  <c r="A18" i="1"/>
  <c r="A17" i="1"/>
  <c r="A19" i="1"/>
  <c r="A14" i="1"/>
  <c r="A30" i="1"/>
  <c r="A35" i="1"/>
  <c r="A32" i="1"/>
  <c r="A16" i="1"/>
  <c r="A37" i="1"/>
  <c r="A22" i="1"/>
  <c r="A20" i="1"/>
  <c r="A33" i="1"/>
  <c r="A26" i="1"/>
  <c r="A28" i="1"/>
  <c r="A24" i="1"/>
  <c r="A15" i="1"/>
  <c r="A31" i="1"/>
  <c r="A27" i="1"/>
  <c r="A34" i="1"/>
  <c r="A63" i="1"/>
  <c r="A64" i="1"/>
  <c r="A65" i="1"/>
  <c r="A66" i="1"/>
  <c r="A67" i="1"/>
  <c r="A68" i="1"/>
  <c r="A69" i="1"/>
  <c r="A70" i="1"/>
  <c r="A71" i="1"/>
  <c r="A72" i="1"/>
  <c r="A73" i="1"/>
  <c r="A74" i="1"/>
  <c r="A75" i="1"/>
  <c r="A76" i="1"/>
  <c r="A77" i="1"/>
  <c r="A78" i="1"/>
  <c r="A79" i="1"/>
  <c r="A80" i="1"/>
  <c r="A81" i="1"/>
  <c r="A82" i="1"/>
  <c r="A83" i="1"/>
  <c r="A84" i="1"/>
  <c r="A85" i="1"/>
  <c r="A86" i="1"/>
  <c r="A87" i="1"/>
  <c r="A38" i="1"/>
  <c r="A39" i="1"/>
  <c r="A40" i="1"/>
  <c r="A41" i="1"/>
  <c r="A42" i="1"/>
  <c r="A43" i="1"/>
  <c r="A44" i="1"/>
  <c r="A45" i="1"/>
  <c r="A46" i="1"/>
  <c r="A47" i="1"/>
  <c r="A48" i="1"/>
  <c r="A49" i="1"/>
  <c r="A50" i="1"/>
  <c r="A51" i="1"/>
  <c r="A52" i="1"/>
  <c r="A53" i="1"/>
  <c r="A54" i="1"/>
  <c r="A55" i="1"/>
  <c r="A56" i="1"/>
  <c r="A57" i="1"/>
  <c r="A58" i="1"/>
  <c r="A59" i="1"/>
  <c r="A60" i="1"/>
  <c r="A61" i="1"/>
  <c r="A62" i="1"/>
  <c r="A530" i="1"/>
  <c r="A531" i="1"/>
  <c r="A532" i="1"/>
  <c r="A533" i="1"/>
  <c r="A534" i="1"/>
  <c r="A535" i="1"/>
  <c r="A536" i="1"/>
  <c r="A537" i="1"/>
  <c r="A538" i="1"/>
  <c r="A539" i="1"/>
  <c r="A540" i="1"/>
  <c r="A541" i="1"/>
  <c r="A542" i="1"/>
  <c r="A543" i="1"/>
  <c r="A544" i="1"/>
  <c r="A545" i="1"/>
  <c r="A546" i="1"/>
  <c r="A547" i="1"/>
  <c r="A548" i="1"/>
  <c r="A549" i="1"/>
  <c r="A550" i="1"/>
  <c r="A551" i="1"/>
  <c r="A552" i="1"/>
  <c r="A553" i="1"/>
  <c r="A554" i="1"/>
  <c r="A88" i="1"/>
  <c r="A89" i="1"/>
  <c r="A90" i="1"/>
  <c r="A91" i="1"/>
  <c r="A92" i="1"/>
  <c r="A93" i="1"/>
  <c r="A94" i="1"/>
  <c r="A95" i="1"/>
  <c r="A96" i="1"/>
  <c r="A97" i="1"/>
  <c r="A98" i="1"/>
  <c r="A99" i="1"/>
  <c r="A100" i="1"/>
  <c r="A101" i="1"/>
  <c r="A102" i="1"/>
  <c r="A103" i="1"/>
  <c r="A104" i="1"/>
  <c r="A105" i="1"/>
  <c r="A106" i="1"/>
  <c r="A107" i="1"/>
  <c r="A108" i="1"/>
  <c r="A109" i="1"/>
  <c r="A110" i="1"/>
  <c r="A111" i="1"/>
  <c r="A112" i="1"/>
  <c r="A149" i="1"/>
  <c r="A150" i="1"/>
  <c r="A151" i="1"/>
  <c r="A152" i="1"/>
  <c r="A153" i="1"/>
  <c r="A154" i="1"/>
  <c r="A155" i="1"/>
  <c r="A156" i="1"/>
  <c r="A157" i="1"/>
  <c r="A158" i="1"/>
  <c r="A159" i="1"/>
  <c r="A160" i="1"/>
  <c r="A161" i="1"/>
  <c r="A162" i="1"/>
  <c r="A163" i="1"/>
  <c r="A164" i="1"/>
  <c r="A165" i="1"/>
  <c r="A166" i="1"/>
  <c r="A167" i="1"/>
  <c r="A168" i="1"/>
  <c r="A169" i="1"/>
  <c r="A170" i="1"/>
  <c r="A171" i="1"/>
  <c r="A172" i="1"/>
  <c r="A173" i="1"/>
  <c r="A174" i="1"/>
  <c r="A175" i="1"/>
  <c r="A176" i="1"/>
  <c r="A177" i="1"/>
  <c r="A178" i="1"/>
  <c r="A179" i="1"/>
  <c r="A180" i="1"/>
  <c r="A181" i="1"/>
  <c r="A182" i="1"/>
  <c r="A183" i="1"/>
  <c r="A184" i="1"/>
  <c r="A185" i="1"/>
  <c r="A186" i="1"/>
  <c r="A187" i="1"/>
  <c r="A188" i="1"/>
  <c r="A189" i="1"/>
  <c r="A190" i="1"/>
  <c r="A191" i="1"/>
  <c r="A192" i="1"/>
  <c r="A193" i="1"/>
  <c r="A194" i="1"/>
  <c r="A195" i="1"/>
  <c r="A196" i="1"/>
  <c r="A197" i="1"/>
  <c r="A198" i="1"/>
  <c r="A224" i="1"/>
  <c r="A225" i="1"/>
  <c r="A226" i="1"/>
  <c r="A227" i="1"/>
  <c r="A228" i="1"/>
  <c r="A229" i="1"/>
  <c r="A230" i="1"/>
  <c r="A231" i="1"/>
  <c r="A232" i="1"/>
  <c r="A233" i="1"/>
  <c r="A234" i="1"/>
  <c r="A235" i="1"/>
  <c r="A236" i="1"/>
  <c r="A237" i="1"/>
  <c r="A238" i="1"/>
  <c r="A239" i="1"/>
  <c r="A240" i="1"/>
  <c r="A241" i="1"/>
  <c r="A242" i="1"/>
  <c r="A243" i="1"/>
  <c r="A244" i="1"/>
  <c r="A245" i="1"/>
  <c r="A246" i="1"/>
  <c r="A247" i="1"/>
  <c r="A248" i="1"/>
  <c r="A249" i="1"/>
  <c r="A250" i="1"/>
  <c r="A251" i="1"/>
  <c r="A252" i="1"/>
  <c r="A253" i="1"/>
  <c r="A254" i="1"/>
  <c r="A255" i="1"/>
  <c r="A256" i="1"/>
  <c r="A257" i="1"/>
  <c r="A258" i="1"/>
  <c r="A259" i="1"/>
  <c r="A260" i="1"/>
  <c r="A261" i="1"/>
  <c r="A262" i="1"/>
  <c r="A263" i="1"/>
  <c r="A264" i="1"/>
  <c r="A265" i="1"/>
  <c r="A266" i="1"/>
  <c r="A267" i="1"/>
  <c r="A268" i="1"/>
  <c r="A269" i="1"/>
  <c r="A270" i="1"/>
  <c r="A271" i="1"/>
  <c r="A272" i="1"/>
  <c r="A273" i="1"/>
  <c r="A274" i="1"/>
  <c r="A275" i="1"/>
  <c r="A276" i="1"/>
  <c r="A277" i="1"/>
  <c r="A278" i="1"/>
  <c r="A279" i="1"/>
  <c r="A280" i="1"/>
  <c r="A281" i="1"/>
  <c r="A282" i="1"/>
  <c r="A283" i="1"/>
  <c r="A284" i="1"/>
  <c r="A285" i="1"/>
  <c r="A286" i="1"/>
  <c r="A287" i="1"/>
  <c r="A288" i="1"/>
  <c r="A289" i="1"/>
  <c r="A290" i="1"/>
  <c r="A291" i="1"/>
  <c r="A292" i="1"/>
  <c r="A293" i="1"/>
  <c r="A294" i="1"/>
  <c r="A295" i="1"/>
  <c r="A296" i="1"/>
  <c r="A297" i="1"/>
  <c r="A298" i="1"/>
  <c r="A299" i="1"/>
  <c r="A300" i="1"/>
  <c r="A301" i="1"/>
  <c r="A302" i="1"/>
  <c r="A303" i="1"/>
  <c r="A304" i="1"/>
  <c r="A305" i="1"/>
  <c r="A306" i="1"/>
  <c r="A307" i="1"/>
  <c r="A308" i="1"/>
  <c r="A309" i="1"/>
  <c r="A310" i="1"/>
  <c r="A311" i="1"/>
  <c r="A312" i="1"/>
  <c r="A313" i="1"/>
  <c r="A314" i="1"/>
  <c r="A315" i="1"/>
  <c r="A316" i="1"/>
  <c r="A317" i="1"/>
  <c r="A318" i="1"/>
  <c r="A319" i="1"/>
  <c r="A320" i="1"/>
  <c r="A321" i="1"/>
  <c r="A322" i="1"/>
  <c r="A323" i="1"/>
  <c r="A324" i="1"/>
  <c r="A325" i="1"/>
  <c r="A326" i="1"/>
  <c r="A327" i="1"/>
  <c r="A328" i="1"/>
  <c r="A329" i="1"/>
  <c r="A330" i="1"/>
  <c r="A331" i="1"/>
  <c r="A332" i="1"/>
  <c r="A333" i="1"/>
  <c r="A334" i="1"/>
  <c r="A335" i="1"/>
  <c r="A336" i="1"/>
  <c r="A337" i="1"/>
  <c r="A338" i="1"/>
  <c r="A339" i="1"/>
  <c r="A340" i="1"/>
  <c r="A341" i="1"/>
  <c r="A342" i="1"/>
  <c r="A343" i="1"/>
  <c r="A344" i="1"/>
  <c r="A345" i="1"/>
  <c r="A346" i="1"/>
  <c r="A347" i="1"/>
  <c r="A348" i="1"/>
  <c r="A349" i="1"/>
  <c r="A350" i="1"/>
  <c r="A351" i="1"/>
  <c r="A352" i="1"/>
  <c r="A353" i="1"/>
  <c r="A354" i="1"/>
  <c r="A355" i="1"/>
  <c r="A356" i="1"/>
  <c r="A357" i="1"/>
  <c r="A358" i="1"/>
  <c r="A359" i="1"/>
  <c r="A360" i="1"/>
  <c r="A361" i="1"/>
  <c r="A362" i="1"/>
  <c r="A363" i="1"/>
  <c r="A364" i="1"/>
  <c r="A365" i="1"/>
  <c r="A366" i="1"/>
  <c r="A367" i="1"/>
  <c r="A368" i="1"/>
  <c r="A369" i="1"/>
  <c r="A370" i="1"/>
  <c r="A371" i="1"/>
  <c r="A372" i="1"/>
  <c r="A373" i="1"/>
  <c r="A374" i="1"/>
  <c r="A375" i="1"/>
  <c r="A376" i="1"/>
  <c r="A377" i="1"/>
  <c r="A378" i="1"/>
  <c r="A379" i="1"/>
  <c r="A380" i="1"/>
  <c r="A381" i="1"/>
  <c r="A382" i="1"/>
  <c r="A383" i="1"/>
  <c r="A384" i="1"/>
  <c r="A385" i="1"/>
  <c r="A386" i="1"/>
  <c r="A387" i="1"/>
  <c r="A388" i="1"/>
  <c r="A389" i="1"/>
  <c r="A390" i="1"/>
  <c r="A391" i="1"/>
  <c r="A392" i="1"/>
  <c r="A393" i="1"/>
  <c r="A394" i="1"/>
  <c r="A395" i="1"/>
  <c r="A396" i="1"/>
  <c r="A397" i="1"/>
  <c r="A398" i="1"/>
  <c r="A399" i="1"/>
  <c r="A400" i="1"/>
  <c r="A401" i="1"/>
  <c r="A402" i="1"/>
  <c r="A403" i="1"/>
  <c r="A404" i="1"/>
  <c r="A405" i="1"/>
  <c r="A406" i="1"/>
  <c r="A407" i="1"/>
  <c r="A408" i="1"/>
  <c r="A409" i="1"/>
  <c r="A410" i="1"/>
  <c r="A411" i="1"/>
  <c r="A412" i="1"/>
  <c r="A413" i="1"/>
  <c r="A414" i="1"/>
  <c r="A415" i="1"/>
  <c r="A416" i="1"/>
  <c r="A417" i="1"/>
  <c r="A418" i="1"/>
  <c r="A419" i="1"/>
  <c r="A420" i="1"/>
  <c r="A421" i="1"/>
  <c r="A422" i="1"/>
  <c r="A423" i="1"/>
  <c r="A424" i="1"/>
  <c r="A425" i="1"/>
  <c r="A426" i="1"/>
  <c r="A427" i="1"/>
  <c r="A428" i="1"/>
  <c r="A429" i="1"/>
  <c r="A430" i="1"/>
  <c r="A431" i="1"/>
  <c r="A432" i="1"/>
  <c r="A433" i="1"/>
  <c r="A434" i="1"/>
  <c r="A435" i="1"/>
  <c r="A436" i="1"/>
  <c r="A437" i="1"/>
  <c r="A438" i="1"/>
  <c r="A439" i="1"/>
  <c r="A440" i="1"/>
  <c r="A441" i="1"/>
  <c r="A442" i="1"/>
  <c r="A443" i="1"/>
  <c r="A444" i="1"/>
  <c r="A445" i="1"/>
  <c r="A446" i="1"/>
  <c r="A447" i="1"/>
  <c r="A448" i="1"/>
  <c r="A449" i="1"/>
  <c r="A450" i="1"/>
  <c r="A451" i="1"/>
  <c r="A452" i="1"/>
  <c r="A453" i="1"/>
  <c r="A454" i="1"/>
  <c r="A455" i="1"/>
  <c r="A456" i="1"/>
  <c r="A457" i="1"/>
  <c r="A458" i="1"/>
  <c r="A459" i="1"/>
  <c r="A460" i="1"/>
  <c r="A461" i="1"/>
  <c r="A462" i="1"/>
  <c r="A463" i="1"/>
  <c r="A464" i="1"/>
  <c r="A465" i="1"/>
  <c r="A466" i="1"/>
  <c r="A467" i="1"/>
  <c r="A468" i="1"/>
  <c r="A469" i="1"/>
  <c r="A470" i="1"/>
  <c r="A471" i="1"/>
  <c r="A472" i="1"/>
  <c r="A473" i="1"/>
  <c r="A474" i="1"/>
  <c r="A475" i="1"/>
  <c r="A476" i="1"/>
  <c r="A477" i="1"/>
  <c r="A478" i="1"/>
  <c r="A479" i="1"/>
  <c r="A480" i="1"/>
  <c r="A481" i="1"/>
  <c r="A482" i="1"/>
  <c r="A483" i="1"/>
  <c r="A484" i="1"/>
  <c r="A485" i="1"/>
  <c r="A486" i="1"/>
  <c r="A487" i="1"/>
  <c r="A488" i="1"/>
  <c r="A489" i="1"/>
  <c r="A490" i="1"/>
  <c r="A491" i="1"/>
  <c r="A492" i="1"/>
  <c r="A493" i="1"/>
  <c r="A494" i="1"/>
  <c r="A495" i="1"/>
  <c r="A496" i="1"/>
  <c r="A497" i="1"/>
  <c r="A498" i="1"/>
  <c r="A499" i="1"/>
  <c r="A500" i="1"/>
  <c r="A501" i="1"/>
  <c r="A502" i="1"/>
  <c r="A503" i="1"/>
  <c r="A504" i="1"/>
  <c r="A505" i="1"/>
  <c r="A506" i="1"/>
  <c r="A507" i="1"/>
  <c r="A508" i="1"/>
  <c r="A509" i="1"/>
  <c r="A510" i="1"/>
  <c r="A511" i="1"/>
  <c r="A512" i="1"/>
  <c r="A513" i="1"/>
  <c r="A514" i="1"/>
  <c r="A515" i="1"/>
  <c r="A516" i="1"/>
  <c r="A517" i="1"/>
  <c r="A518" i="1"/>
  <c r="A519" i="1"/>
  <c r="A520" i="1"/>
  <c r="A521" i="1"/>
  <c r="A522" i="1"/>
  <c r="A523" i="1"/>
  <c r="A524" i="1"/>
  <c r="A525" i="1"/>
  <c r="A526" i="1"/>
  <c r="A527" i="1"/>
  <c r="A528" i="1"/>
  <c r="A529" i="1"/>
  <c r="A199" i="1"/>
  <c r="A200" i="1"/>
  <c r="A201" i="1"/>
  <c r="A202" i="1"/>
  <c r="A203" i="1"/>
  <c r="A204" i="1"/>
  <c r="A205" i="1"/>
  <c r="A206" i="1"/>
  <c r="A207" i="1"/>
  <c r="A208" i="1"/>
  <c r="A209" i="1"/>
  <c r="A210" i="1"/>
  <c r="A211" i="1"/>
  <c r="A212" i="1"/>
  <c r="A213" i="1"/>
  <c r="A214" i="1"/>
  <c r="A215" i="1"/>
  <c r="A216" i="1"/>
  <c r="A217" i="1"/>
  <c r="A218" i="1"/>
  <c r="A219" i="1"/>
  <c r="A220" i="1"/>
  <c r="A221" i="1"/>
  <c r="A222" i="1"/>
  <c r="A223" i="1"/>
  <c r="A555" i="1"/>
  <c r="A12" i="3"/>
  <c r="C58" i="11"/>
  <c r="F21" i="3" l="1"/>
  <c r="C35" i="3"/>
  <c r="E31" i="3"/>
  <c r="C12" i="3"/>
  <c r="S35" i="3"/>
  <c r="T34" i="3"/>
  <c r="R13" i="3"/>
  <c r="E18" i="3"/>
  <c r="Q18" i="3"/>
  <c r="N21" i="3"/>
  <c r="F25" i="3"/>
  <c r="O28" i="3"/>
  <c r="E30" i="3"/>
  <c r="L31" i="3"/>
  <c r="C20" i="3"/>
  <c r="L12" i="3"/>
  <c r="R18" i="3"/>
  <c r="E23" i="3"/>
  <c r="L24" i="3"/>
  <c r="D28" i="3"/>
  <c r="M31" i="3"/>
  <c r="T32" i="3"/>
  <c r="K12" i="3"/>
  <c r="O16" i="3"/>
  <c r="J17" i="3"/>
  <c r="K24" i="3"/>
  <c r="M26" i="3"/>
  <c r="T27" i="3"/>
  <c r="I34" i="3"/>
  <c r="C32" i="3"/>
  <c r="G13" i="3"/>
  <c r="D16" i="3"/>
  <c r="H20" i="3"/>
  <c r="N26" i="3"/>
  <c r="H32" i="3"/>
  <c r="F13" i="3"/>
  <c r="G20" i="3"/>
  <c r="I22" i="3"/>
  <c r="P23" i="3"/>
  <c r="J29" i="3"/>
  <c r="P35" i="3"/>
  <c r="I15" i="3"/>
  <c r="P16" i="3"/>
  <c r="J22" i="3"/>
  <c r="P28" i="3"/>
  <c r="O33" i="3"/>
  <c r="C21" i="3"/>
  <c r="H34" i="3"/>
  <c r="H15" i="3"/>
  <c r="L19" i="3"/>
  <c r="R25" i="3"/>
  <c r="G32" i="3"/>
  <c r="N33" i="3"/>
  <c r="N14" i="3"/>
  <c r="M19" i="3"/>
  <c r="O21" i="3"/>
  <c r="Q23" i="3"/>
  <c r="G25" i="3"/>
  <c r="I27" i="3"/>
  <c r="F30" i="3"/>
  <c r="J34" i="3"/>
  <c r="M14" i="3"/>
  <c r="T15" i="3"/>
  <c r="S20" i="3"/>
  <c r="D23" i="3"/>
  <c r="H27" i="3"/>
  <c r="Q30" i="3"/>
  <c r="S32" i="3"/>
  <c r="D35" i="3"/>
  <c r="S13" i="3"/>
  <c r="K17" i="3"/>
  <c r="F18" i="3"/>
  <c r="T20" i="3"/>
  <c r="S25" i="3"/>
  <c r="K29" i="3"/>
  <c r="R30" i="3"/>
  <c r="E35" i="3"/>
  <c r="Q35" i="3"/>
  <c r="L22" i="3"/>
  <c r="G23" i="3"/>
  <c r="S23" i="3"/>
  <c r="N24" i="3"/>
  <c r="I25" i="3"/>
  <c r="D26" i="3"/>
  <c r="P26" i="3"/>
  <c r="K27" i="3"/>
  <c r="F28" i="3"/>
  <c r="R28" i="3"/>
  <c r="M29" i="3"/>
  <c r="H30" i="3"/>
  <c r="T30" i="3"/>
  <c r="O31" i="3"/>
  <c r="J32" i="3"/>
  <c r="C23" i="3"/>
  <c r="I19" i="3"/>
  <c r="G35" i="3"/>
  <c r="L34" i="3"/>
  <c r="C33" i="3"/>
  <c r="Q33" i="3"/>
  <c r="E33" i="3"/>
  <c r="Q21" i="3"/>
  <c r="E21" i="3"/>
  <c r="J20" i="3"/>
  <c r="O19" i="3"/>
  <c r="T18" i="3"/>
  <c r="H18" i="3"/>
  <c r="M17" i="3"/>
  <c r="R16" i="3"/>
  <c r="F16" i="3"/>
  <c r="K15" i="3"/>
  <c r="P14" i="3"/>
  <c r="D14" i="3"/>
  <c r="I13" i="3"/>
  <c r="N12" i="3"/>
  <c r="C34" i="3"/>
  <c r="C22" i="3"/>
  <c r="R35" i="3"/>
  <c r="F35" i="3"/>
  <c r="K34" i="3"/>
  <c r="P33" i="3"/>
  <c r="D33" i="3"/>
  <c r="I32" i="3"/>
  <c r="N31" i="3"/>
  <c r="S30" i="3"/>
  <c r="G30" i="3"/>
  <c r="L29" i="3"/>
  <c r="Q28" i="3"/>
  <c r="E28" i="3"/>
  <c r="J27" i="3"/>
  <c r="O26" i="3"/>
  <c r="T25" i="3"/>
  <c r="H25" i="3"/>
  <c r="M24" i="3"/>
  <c r="R23" i="3"/>
  <c r="F23" i="3"/>
  <c r="K22" i="3"/>
  <c r="P21" i="3"/>
  <c r="D21" i="3"/>
  <c r="I20" i="3"/>
  <c r="N19" i="3"/>
  <c r="S18" i="3"/>
  <c r="G18" i="3"/>
  <c r="L17" i="3"/>
  <c r="Q16" i="3"/>
  <c r="E16" i="3"/>
  <c r="J15" i="3"/>
  <c r="O14" i="3"/>
  <c r="T13" i="3"/>
  <c r="H13" i="3"/>
  <c r="M12" i="3"/>
  <c r="C31" i="3"/>
  <c r="R32" i="3"/>
  <c r="N28" i="3"/>
  <c r="T22" i="3"/>
  <c r="M21" i="3"/>
  <c r="D18" i="3"/>
  <c r="S15" i="3"/>
  <c r="E13" i="3"/>
  <c r="C30" i="3"/>
  <c r="S34" i="3"/>
  <c r="Q32" i="3"/>
  <c r="H29" i="3"/>
  <c r="D25" i="3"/>
  <c r="I24" i="3"/>
  <c r="T17" i="3"/>
  <c r="D13" i="3"/>
  <c r="C29" i="3"/>
  <c r="M35" i="3"/>
  <c r="D32" i="3"/>
  <c r="S29" i="3"/>
  <c r="T24" i="3"/>
  <c r="F22" i="3"/>
  <c r="N18" i="3"/>
  <c r="S17" i="3"/>
  <c r="G17" i="3"/>
  <c r="L16" i="3"/>
  <c r="Q15" i="3"/>
  <c r="E15" i="3"/>
  <c r="J14" i="3"/>
  <c r="O13" i="3"/>
  <c r="T12" i="3"/>
  <c r="H12" i="3"/>
  <c r="C28" i="3"/>
  <c r="C16" i="3"/>
  <c r="L35" i="3"/>
  <c r="Q34" i="3"/>
  <c r="E34" i="3"/>
  <c r="J33" i="3"/>
  <c r="O32" i="3"/>
  <c r="T31" i="3"/>
  <c r="H31" i="3"/>
  <c r="M30" i="3"/>
  <c r="R29" i="3"/>
  <c r="F29" i="3"/>
  <c r="K28" i="3"/>
  <c r="P27" i="3"/>
  <c r="D27" i="3"/>
  <c r="I26" i="3"/>
  <c r="N25" i="3"/>
  <c r="S24" i="3"/>
  <c r="G24" i="3"/>
  <c r="L23" i="3"/>
  <c r="Q22" i="3"/>
  <c r="E22" i="3"/>
  <c r="J21" i="3"/>
  <c r="O20" i="3"/>
  <c r="T19" i="3"/>
  <c r="H19" i="3"/>
  <c r="M18" i="3"/>
  <c r="R17" i="3"/>
  <c r="F17" i="3"/>
  <c r="K16" i="3"/>
  <c r="P15" i="3"/>
  <c r="D15" i="3"/>
  <c r="I14" i="3"/>
  <c r="N13" i="3"/>
  <c r="S12" i="3"/>
  <c r="G12" i="3"/>
  <c r="M33" i="3"/>
  <c r="K31" i="3"/>
  <c r="J24" i="3"/>
  <c r="P18" i="3"/>
  <c r="I17" i="3"/>
  <c r="Q13" i="3"/>
  <c r="C18" i="3"/>
  <c r="T29" i="3"/>
  <c r="M28" i="3"/>
  <c r="L21" i="3"/>
  <c r="E20" i="3"/>
  <c r="P13" i="3"/>
  <c r="C17" i="3"/>
  <c r="N30" i="3"/>
  <c r="H24" i="3"/>
  <c r="M23" i="3"/>
  <c r="K21" i="3"/>
  <c r="C27" i="3"/>
  <c r="C15" i="3"/>
  <c r="K35" i="3"/>
  <c r="P34" i="3"/>
  <c r="D34" i="3"/>
  <c r="I33" i="3"/>
  <c r="N32" i="3"/>
  <c r="S31" i="3"/>
  <c r="G31" i="3"/>
  <c r="L30" i="3"/>
  <c r="Q29" i="3"/>
  <c r="E29" i="3"/>
  <c r="J28" i="3"/>
  <c r="O27" i="3"/>
  <c r="T26" i="3"/>
  <c r="H26" i="3"/>
  <c r="M25" i="3"/>
  <c r="R24" i="3"/>
  <c r="F24" i="3"/>
  <c r="K23" i="3"/>
  <c r="P22" i="3"/>
  <c r="D22" i="3"/>
  <c r="I21" i="3"/>
  <c r="N20" i="3"/>
  <c r="S19" i="3"/>
  <c r="G19" i="3"/>
  <c r="L18" i="3"/>
  <c r="Q17" i="3"/>
  <c r="E17" i="3"/>
  <c r="J16" i="3"/>
  <c r="O15" i="3"/>
  <c r="T14" i="3"/>
  <c r="H14" i="3"/>
  <c r="M13" i="3"/>
  <c r="R12" i="3"/>
  <c r="F12" i="3"/>
  <c r="O35" i="3"/>
  <c r="D30" i="3"/>
  <c r="I29" i="3"/>
  <c r="G27" i="3"/>
  <c r="R20" i="3"/>
  <c r="L14" i="3"/>
  <c r="N35" i="3"/>
  <c r="G34" i="3"/>
  <c r="E32" i="3"/>
  <c r="O30" i="3"/>
  <c r="P25" i="3"/>
  <c r="S22" i="3"/>
  <c r="H17" i="3"/>
  <c r="M16" i="3"/>
  <c r="I12" i="3"/>
  <c r="F34" i="3"/>
  <c r="J26" i="3"/>
  <c r="D20" i="3"/>
  <c r="C26" i="3"/>
  <c r="C14" i="3"/>
  <c r="J35" i="3"/>
  <c r="O34" i="3"/>
  <c r="T33" i="3"/>
  <c r="H33" i="3"/>
  <c r="M32" i="3"/>
  <c r="R31" i="3"/>
  <c r="F31" i="3"/>
  <c r="K30" i="3"/>
  <c r="P29" i="3"/>
  <c r="D29" i="3"/>
  <c r="I28" i="3"/>
  <c r="N27" i="3"/>
  <c r="S26" i="3"/>
  <c r="G26" i="3"/>
  <c r="L25" i="3"/>
  <c r="Q24" i="3"/>
  <c r="E24" i="3"/>
  <c r="J23" i="3"/>
  <c r="O22" i="3"/>
  <c r="T21" i="3"/>
  <c r="H21" i="3"/>
  <c r="M20" i="3"/>
  <c r="R19" i="3"/>
  <c r="F19" i="3"/>
  <c r="K18" i="3"/>
  <c r="P17" i="3"/>
  <c r="D17" i="3"/>
  <c r="I16" i="3"/>
  <c r="N15" i="3"/>
  <c r="S14" i="3"/>
  <c r="G14" i="3"/>
  <c r="L13" i="3"/>
  <c r="Q12" i="3"/>
  <c r="E12" i="3"/>
  <c r="C19" i="3"/>
  <c r="P30" i="3"/>
  <c r="S27" i="3"/>
  <c r="H22" i="3"/>
  <c r="N16" i="3"/>
  <c r="G15" i="3"/>
  <c r="L33" i="3"/>
  <c r="R27" i="3"/>
  <c r="K26" i="3"/>
  <c r="J19" i="3"/>
  <c r="F15" i="3"/>
  <c r="P32" i="3"/>
  <c r="I31" i="3"/>
  <c r="G29" i="3"/>
  <c r="Q27" i="3"/>
  <c r="P20" i="3"/>
  <c r="N34" i="3"/>
  <c r="S33" i="3"/>
  <c r="G33" i="3"/>
  <c r="J30" i="3"/>
  <c r="O29" i="3"/>
  <c r="T28" i="3"/>
  <c r="H28" i="3"/>
  <c r="M27" i="3"/>
  <c r="R26" i="3"/>
  <c r="F26" i="3"/>
  <c r="K25" i="3"/>
  <c r="P24" i="3"/>
  <c r="D24" i="3"/>
  <c r="I23" i="3"/>
  <c r="N22" i="3"/>
  <c r="S21" i="3"/>
  <c r="G21" i="3"/>
  <c r="L20" i="3"/>
  <c r="Q19" i="3"/>
  <c r="E19" i="3"/>
  <c r="J18" i="3"/>
  <c r="O17" i="3"/>
  <c r="T16" i="3"/>
  <c r="H16" i="3"/>
  <c r="M15" i="3"/>
  <c r="R14" i="3"/>
  <c r="F14" i="3"/>
  <c r="K13" i="3"/>
  <c r="P12" i="3"/>
  <c r="D12" i="3"/>
  <c r="F32" i="3"/>
  <c r="L26" i="3"/>
  <c r="Q25" i="3"/>
  <c r="E25" i="3"/>
  <c r="O23" i="3"/>
  <c r="F20" i="3"/>
  <c r="K19" i="3"/>
  <c r="J12" i="3"/>
  <c r="J31" i="3"/>
  <c r="F27" i="3"/>
  <c r="N23" i="3"/>
  <c r="G22" i="3"/>
  <c r="Q20" i="3"/>
  <c r="O18" i="3"/>
  <c r="R15" i="3"/>
  <c r="K14" i="3"/>
  <c r="R34" i="3"/>
  <c r="K33" i="3"/>
  <c r="L28" i="3"/>
  <c r="E27" i="3"/>
  <c r="O25" i="3"/>
  <c r="R22" i="3"/>
  <c r="C25" i="3"/>
  <c r="C13" i="3"/>
  <c r="I35" i="3"/>
  <c r="L32" i="3"/>
  <c r="Q31" i="3"/>
  <c r="C24" i="3"/>
  <c r="T35" i="3"/>
  <c r="H35" i="3"/>
  <c r="M34" i="3"/>
  <c r="R33" i="3"/>
  <c r="F33" i="3"/>
  <c r="K32" i="3"/>
  <c r="P31" i="3"/>
  <c r="D31" i="3"/>
  <c r="I30" i="3"/>
  <c r="N29" i="3"/>
  <c r="S28" i="3"/>
  <c r="G28" i="3"/>
  <c r="L27" i="3"/>
  <c r="Q26" i="3"/>
  <c r="E26" i="3"/>
  <c r="J25" i="3"/>
  <c r="O24" i="3"/>
  <c r="T23" i="3"/>
  <c r="H23" i="3"/>
  <c r="M22" i="3"/>
  <c r="R21" i="3"/>
  <c r="K20" i="3"/>
  <c r="P19" i="3"/>
  <c r="D19" i="3"/>
  <c r="I18" i="3"/>
  <c r="N17" i="3"/>
  <c r="S16" i="3"/>
  <c r="G16" i="3"/>
  <c r="L15" i="3"/>
  <c r="Q14" i="3"/>
  <c r="E14" i="3"/>
  <c r="J13" i="3"/>
  <c r="O12" i="3"/>
  <c r="A4" i="3"/>
  <c r="A24" i="3" l="1"/>
  <c r="A25" i="3"/>
  <c r="A26" i="3"/>
  <c r="A27" i="3"/>
  <c r="A28" i="3"/>
  <c r="A29" i="3"/>
  <c r="A30" i="3"/>
  <c r="A31" i="3"/>
  <c r="A32" i="3"/>
  <c r="A33" i="3"/>
  <c r="A34" i="3"/>
  <c r="A35" i="3"/>
  <c r="A13" i="3"/>
  <c r="C63" i="3" s="1"/>
  <c r="A14" i="3"/>
  <c r="A15" i="3"/>
  <c r="A16" i="3"/>
  <c r="A17" i="3"/>
  <c r="A18" i="3"/>
  <c r="A19" i="3"/>
  <c r="A20" i="3"/>
  <c r="A21" i="3"/>
  <c r="A22" i="3"/>
  <c r="A23" i="3"/>
  <c r="C49" i="3" l="1"/>
  <c r="J63" i="11" s="1"/>
  <c r="E42" i="3"/>
  <c r="E63" i="3"/>
  <c r="F47" i="3"/>
  <c r="F48" i="3"/>
  <c r="M62" i="11" s="1"/>
  <c r="F43" i="3"/>
  <c r="G63" i="11" s="1"/>
  <c r="C42" i="3"/>
  <c r="D62" i="11" s="1"/>
  <c r="D63" i="3"/>
  <c r="C48" i="3"/>
  <c r="J62" i="11" s="1"/>
  <c r="D50" i="3"/>
  <c r="K64" i="11" s="1"/>
  <c r="F52" i="3"/>
  <c r="M66" i="11" s="1"/>
  <c r="D51" i="3"/>
  <c r="K65" i="11" s="1"/>
  <c r="C59" i="3"/>
  <c r="F46" i="3"/>
  <c r="E60" i="3"/>
  <c r="E43" i="3"/>
  <c r="F63" i="11" s="1"/>
  <c r="C60" i="3"/>
  <c r="E53" i="3"/>
  <c r="C52" i="3"/>
  <c r="J66" i="11" s="1"/>
  <c r="E62" i="3"/>
  <c r="D60" i="3"/>
  <c r="D45" i="3"/>
  <c r="E65" i="11" s="1"/>
  <c r="D43" i="3"/>
  <c r="E63" i="11" s="1"/>
  <c r="D62" i="3"/>
  <c r="F44" i="3"/>
  <c r="G64" i="11" s="1"/>
  <c r="C44" i="3"/>
  <c r="D64" i="11" s="1"/>
  <c r="C51" i="3"/>
  <c r="J65" i="11" s="1"/>
  <c r="C46" i="3"/>
  <c r="D66" i="11" s="1"/>
  <c r="E59" i="3"/>
  <c r="F51" i="3"/>
  <c r="M65" i="11" s="1"/>
  <c r="D46" i="3"/>
  <c r="E66" i="11" s="1"/>
  <c r="E48" i="3"/>
  <c r="L62" i="11" s="1"/>
  <c r="E47" i="3"/>
  <c r="D42" i="3"/>
  <c r="E62" i="11" s="1"/>
  <c r="E44" i="3"/>
  <c r="F64" i="11" s="1"/>
  <c r="F42" i="3"/>
  <c r="G62" i="11" s="1"/>
  <c r="C43" i="3"/>
  <c r="D63" i="11" s="1"/>
  <c r="C50" i="3"/>
  <c r="E49" i="3"/>
  <c r="F49" i="3"/>
  <c r="M63" i="11" s="1"/>
  <c r="E61" i="3"/>
  <c r="E52" i="3"/>
  <c r="L66" i="11" s="1"/>
  <c r="D49" i="3"/>
  <c r="K63" i="11" s="1"/>
  <c r="C45" i="3"/>
  <c r="D65" i="11" s="1"/>
  <c r="F45" i="3"/>
  <c r="G65" i="11" s="1"/>
  <c r="C61" i="3"/>
  <c r="D48" i="3"/>
  <c r="E50" i="3"/>
  <c r="L64" i="11" s="1"/>
  <c r="F50" i="3"/>
  <c r="M64" i="11" s="1"/>
  <c r="D44" i="3"/>
  <c r="E64" i="11" s="1"/>
  <c r="C47" i="3"/>
  <c r="E46" i="3"/>
  <c r="F66" i="11" s="1"/>
  <c r="D59" i="3"/>
  <c r="C62" i="3"/>
  <c r="E51" i="3"/>
  <c r="L65" i="11" s="1"/>
  <c r="E45" i="3"/>
  <c r="F65" i="11" s="1"/>
  <c r="D52" i="3"/>
  <c r="K66" i="11" s="1"/>
  <c r="D47" i="3"/>
  <c r="F53" i="3"/>
  <c r="D61" i="3"/>
  <c r="I35" i="11"/>
  <c r="I84" i="11"/>
  <c r="C35" i="11"/>
  <c r="F62" i="11"/>
  <c r="G66" i="11"/>
  <c r="L63" i="11"/>
  <c r="J64" i="11"/>
  <c r="F85" i="11"/>
  <c r="G84" i="11"/>
  <c r="E85" i="11"/>
  <c r="E84" i="11"/>
  <c r="C85" i="11"/>
  <c r="F86" i="11"/>
  <c r="E86" i="11"/>
  <c r="D86" i="11"/>
  <c r="G85" i="11"/>
  <c r="D85" i="11"/>
  <c r="F84" i="11"/>
  <c r="G86" i="11"/>
  <c r="D84" i="11"/>
  <c r="C86" i="11"/>
  <c r="F44" i="11"/>
  <c r="J44" i="11"/>
  <c r="E41" i="11"/>
  <c r="J42" i="11"/>
  <c r="E40" i="11"/>
  <c r="D48" i="11"/>
  <c r="G49" i="11"/>
  <c r="G48" i="11"/>
  <c r="D49" i="11"/>
  <c r="C45" i="11"/>
  <c r="C44" i="11"/>
  <c r="F45" i="11"/>
  <c r="D53" i="3" l="1"/>
  <c r="C53" i="3"/>
  <c r="K62" i="11"/>
  <c r="D64" i="3"/>
  <c r="C64" i="3"/>
  <c r="E64" i="3" l="1"/>
</calcChain>
</file>

<file path=xl/sharedStrings.xml><?xml version="1.0" encoding="utf-8"?>
<sst xmlns="http://schemas.openxmlformats.org/spreadsheetml/2006/main" count="1423" uniqueCount="170">
  <si>
    <t>ID_MOIS</t>
  </si>
  <si>
    <t>SEGM</t>
  </si>
  <si>
    <t>PROFIL</t>
  </si>
  <si>
    <t>CA_TOUS_CLIENTS</t>
  </si>
  <si>
    <t>CA_PORTEURS</t>
  </si>
  <si>
    <t>TX_CA_PORTEURS</t>
  </si>
  <si>
    <t>NB_PASSAGES_PORTEURS</t>
  </si>
  <si>
    <t>DEPENSES_PAR_PORTEUR</t>
  </si>
  <si>
    <t>NB_PASSAGES_PAR_PORTEUR</t>
  </si>
  <si>
    <t>PM_PORTEURS</t>
  </si>
  <si>
    <t>MT_CAGNO</t>
  </si>
  <si>
    <t>TX_CAGNO</t>
  </si>
  <si>
    <t>CA_TOUS_CLIENTS_A_1</t>
  </si>
  <si>
    <t>CA_PORTEURS_A_1</t>
  </si>
  <si>
    <t>TX_CA_PORTEURS_A_1</t>
  </si>
  <si>
    <t>NB_PASSAGES_PORTEURS_A_1</t>
  </si>
  <si>
    <t>DEPENSES_PAR_PORTEUR_A_1</t>
  </si>
  <si>
    <t>NB_PASSAGES_PAR_PORTEUR_A_1</t>
  </si>
  <si>
    <t>PM_PORTEURS_A_1</t>
  </si>
  <si>
    <t>MT_CAGNO_A_1</t>
  </si>
  <si>
    <t>TX_CAGNO_A_1</t>
  </si>
  <si>
    <t>EVOL_CA_TOUS_CLIENTS</t>
  </si>
  <si>
    <t>EVOL_CA_PORTEURS</t>
  </si>
  <si>
    <t>ECART_TX_CA_PORTEURS</t>
  </si>
  <si>
    <t>EVOL_NB_PASSAGES_PORTEURS</t>
  </si>
  <si>
    <t>EVOL_DEPENSES_PAR_PORTEUR</t>
  </si>
  <si>
    <t>EVOL_NB_PASSAGES_PAR_PORTEUR</t>
  </si>
  <si>
    <t>EVOL_PM_PORTEURS</t>
  </si>
  <si>
    <t>EVOL_MT_CAGNO</t>
  </si>
  <si>
    <t>ECART_TX_CAGNO</t>
  </si>
  <si>
    <t>Tous porteurs</t>
  </si>
  <si>
    <t>Tous profils</t>
  </si>
  <si>
    <t>Total</t>
  </si>
  <si>
    <t>Segm Valeur</t>
  </si>
  <si>
    <t>Non affecté</t>
  </si>
  <si>
    <t>NB_PORTEURS_ACHETEURS</t>
  </si>
  <si>
    <t>Mois</t>
  </si>
  <si>
    <t>Période</t>
  </si>
  <si>
    <t>EVOL_NB_PORTEURS_ACHETEURS</t>
  </si>
  <si>
    <t>CA porteurs</t>
  </si>
  <si>
    <t>Evol CA porteurs vs A-1</t>
  </si>
  <si>
    <t>Taux CA porteurs</t>
  </si>
  <si>
    <t>Ecart Taux CA porteurs vs A-1</t>
  </si>
  <si>
    <t>Nb passages porteurs</t>
  </si>
  <si>
    <t>Evol Nb passages porteurs vs A-1</t>
  </si>
  <si>
    <t>Nb porteurs acheteurs</t>
  </si>
  <si>
    <t>Evol Nb porteurs acheteurs vs A-1</t>
  </si>
  <si>
    <t>PM porteurs</t>
  </si>
  <si>
    <t>Evol PM porteurs vs A-1</t>
  </si>
  <si>
    <t>Dépenses par porteur acheteur</t>
  </si>
  <si>
    <t>Evol Dépenses par porteur acheteur vs A-1</t>
  </si>
  <si>
    <t>Nb passages par porteur acheteur</t>
  </si>
  <si>
    <t>Evol Nb passages par porteur acheteur vs A-1</t>
  </si>
  <si>
    <t>Taux de générosité</t>
  </si>
  <si>
    <t>Ecart Taux de générosité vs A-1</t>
  </si>
  <si>
    <t>NB_PORTEURS_ACHETEURS_A_1</t>
  </si>
  <si>
    <t>LEXIQUE</t>
  </si>
  <si>
    <t>Porteurs non segmentés</t>
  </si>
  <si>
    <t>Novembre</t>
  </si>
  <si>
    <t>Segm SDC</t>
  </si>
  <si>
    <t>Gros acheteurs</t>
  </si>
  <si>
    <t>Clients inactifs</t>
  </si>
  <si>
    <t>Les Pragmatiques</t>
  </si>
  <si>
    <t>Moyens acheteurs</t>
  </si>
  <si>
    <t>Nouveaux clients</t>
  </si>
  <si>
    <t>Petits acheteurs</t>
  </si>
  <si>
    <t>Les Budget-conscious</t>
  </si>
  <si>
    <t>Les Eco-responsables</t>
  </si>
  <si>
    <t>Les Exigeants du luxe</t>
  </si>
  <si>
    <t>Les Amateurs de tendances</t>
  </si>
  <si>
    <t>Cadeau d'anniversaire</t>
  </si>
  <si>
    <t>Offres personnalisées</t>
  </si>
  <si>
    <t>Sélection Glow</t>
  </si>
  <si>
    <t>Journées Éclat</t>
  </si>
  <si>
    <t>Grands Jeux</t>
  </si>
  <si>
    <t>Décembre</t>
  </si>
  <si>
    <t>L'ATTRAIT DE LA CARTE GLOW</t>
  </si>
  <si>
    <t>Janvier</t>
  </si>
  <si>
    <t>Février</t>
  </si>
  <si>
    <t>Mars</t>
  </si>
  <si>
    <t>Avril</t>
  </si>
  <si>
    <t>Mai</t>
  </si>
  <si>
    <t>Juin</t>
  </si>
  <si>
    <t>Juillet</t>
  </si>
  <si>
    <t>Août</t>
  </si>
  <si>
    <t>Septembre</t>
  </si>
  <si>
    <t>Octobre</t>
  </si>
  <si>
    <r>
      <rPr>
        <b/>
        <sz val="12"/>
        <color theme="1" tint="0.249977111117893"/>
        <rFont val="Calibri"/>
        <family val="2"/>
        <scheme val="minor"/>
      </rPr>
      <t xml:space="preserve">Bienvenue sur la newsletter mensuelle des performances
de notre programme de fidélité, la Carte Glow !
</t>
    </r>
    <r>
      <rPr>
        <i/>
        <sz val="11"/>
        <color theme="1" tint="0.249977111117893"/>
        <rFont val="Calibri"/>
        <family val="2"/>
        <scheme val="minor"/>
      </rPr>
      <t>Pour afficher un autre mois, veuillez le sélectionner dans la bannière rose ci-dessus.</t>
    </r>
  </si>
  <si>
    <t xml:space="preserve">                 CA des porteurs
                 de la Carte Glow</t>
  </si>
  <si>
    <t xml:space="preserve">                 Nombre de
                 porteurs acheteurs</t>
  </si>
  <si>
    <t xml:space="preserve">                 Dépenses moyennes
                 par porteur acheteur</t>
  </si>
  <si>
    <t xml:space="preserve">                 Fréquence d'achat
                 moyenne</t>
  </si>
  <si>
    <t xml:space="preserve">                 Panier moyen</t>
  </si>
  <si>
    <t>Comment se décompose le CA
des porteurs de la Carte Glow ?</t>
  </si>
  <si>
    <t>Les profils de nos clients</t>
  </si>
  <si>
    <t>Poids dans l'effectif</t>
  </si>
  <si>
    <t>Poids dans le CA</t>
  </si>
  <si>
    <t>Fréquence</t>
  </si>
  <si>
    <t>PM</t>
  </si>
  <si>
    <t>Profil</t>
  </si>
  <si>
    <t>Afin de mieux comprendre les besoins et comportements de nos différents types de clients, nous avons créé deux segmentations :</t>
  </si>
  <si>
    <r>
      <t xml:space="preserve">- la </t>
    </r>
    <r>
      <rPr>
        <b/>
        <sz val="11"/>
        <color rgb="FFF4ACB7"/>
        <rFont val="Calibri"/>
        <family val="2"/>
        <scheme val="minor"/>
      </rPr>
      <t>segmentation Valeur</t>
    </r>
    <r>
      <rPr>
        <sz val="11"/>
        <color theme="1"/>
        <rFont val="Calibri"/>
        <family val="2"/>
        <scheme val="minor"/>
      </rPr>
      <t xml:space="preserve"> basée sur le montant des dépenses</t>
    </r>
  </si>
  <si>
    <r>
      <t xml:space="preserve">- la </t>
    </r>
    <r>
      <rPr>
        <b/>
        <sz val="11"/>
        <color rgb="FFF4ACB7"/>
        <rFont val="Calibri"/>
        <family val="2"/>
        <scheme val="minor"/>
      </rPr>
      <t>segmentation Style de consommation</t>
    </r>
    <r>
      <rPr>
        <sz val="11"/>
        <color theme="1"/>
        <rFont val="Calibri"/>
        <family val="2"/>
        <scheme val="minor"/>
      </rPr>
      <t xml:space="preserve"> basée sur les habitudes d'achat</t>
    </r>
  </si>
  <si>
    <t>Le mois de l'analyse est :</t>
  </si>
  <si>
    <t>POIDS_PROFIL_DANS_CA</t>
  </si>
  <si>
    <t>POIDS_PROFIL_DANS_EFFECTIF</t>
  </si>
  <si>
    <t>Segmentation</t>
  </si>
  <si>
    <t>Segmentation Valeur</t>
  </si>
  <si>
    <t>Segmentation Style de consommation</t>
  </si>
  <si>
    <t xml:space="preserve">  </t>
  </si>
  <si>
    <t>La générosité de la Carte Glow</t>
  </si>
  <si>
    <t>Montant cagnotté</t>
  </si>
  <si>
    <t>Evol Montant cagnotté vs A-1</t>
  </si>
  <si>
    <t>Comportements de consommation &amp; Générosité au global</t>
  </si>
  <si>
    <t>Comportements de consommation par profil client, pour le mois analysé</t>
  </si>
  <si>
    <t>Générosité par type d'avantage, pour le mois analysé</t>
  </si>
  <si>
    <t>Montant cagnotté A-1</t>
  </si>
  <si>
    <t>Type d'avantage</t>
  </si>
  <si>
    <t>MT_CAGNO_SELECTION_GLOW</t>
  </si>
  <si>
    <t>MT_CAGNO_JOURNEES_ECLAT</t>
  </si>
  <si>
    <t>MT_CAGNO_GRANDS_JEUX</t>
  </si>
  <si>
    <t>MT_CAGNO_OFFRES_PERSONNALISEES</t>
  </si>
  <si>
    <t>MT_CAGNO_CADEAU_ANNIVERSAIRE</t>
  </si>
  <si>
    <t>MT_CAGNO_SELECTION_GLOW_A_1</t>
  </si>
  <si>
    <t>MT_CAGNO_JOURNEES_ECLAT_A_1</t>
  </si>
  <si>
    <t>MT_CAGNO_GRANDS_JEUX_A_1</t>
  </si>
  <si>
    <t>MT_CAGNO_OFFRES_PERSONNALISEES_A_1</t>
  </si>
  <si>
    <t>MT_CAGNO_CADEAU_ANNIVERSAIRE_A_1</t>
  </si>
  <si>
    <t>EVOL_MT_CAGNO_SELECTION_GLOW</t>
  </si>
  <si>
    <t>EVOL_MT_CAGNO_JOURNEES_ECLAT</t>
  </si>
  <si>
    <t>EVOL_MT_CAGNO_GRANDS_JEUX</t>
  </si>
  <si>
    <t>EVOL_MT_CAGNO_OFFRES_PERSONNALISEES</t>
  </si>
  <si>
    <t>EVOL_MT_CAGNO_CADEAU_ANNIVERSAIRE</t>
  </si>
  <si>
    <t>MOIS_PROFIL</t>
  </si>
  <si>
    <t>Décembre 2024</t>
  </si>
  <si>
    <t>CA des porteurs de la Carte Glow</t>
  </si>
  <si>
    <t>Taux de CA porteurs</t>
  </si>
  <si>
    <t>CA des porteurs de la Carte Glow / CA tous clients</t>
  </si>
  <si>
    <t>Nombre de porteurs acheteurs</t>
  </si>
  <si>
    <t>Nombre de porteurs de la Carte Glow ayant effectué des achats</t>
  </si>
  <si>
    <t>Dépenses moyennes par porteur acheteur</t>
  </si>
  <si>
    <t>CA des porteurs de la Carte Glow / Nombre de porteurs de la Carte Glow ayant effectué des achats</t>
  </si>
  <si>
    <t>Fréquence d'achat moyenne</t>
  </si>
  <si>
    <t>Nombre de passages en caisse des porteurs de la Carte Glow / Nombre de porteurs de la Carte Glow ayant effectué des achats</t>
  </si>
  <si>
    <t>Panier moyen</t>
  </si>
  <si>
    <t>CA des porteurs de la Carte Glow / Nombre de passages en caisse des porteurs de la Carte Glow</t>
  </si>
  <si>
    <t>Profils selon la segmentation Valeur (niveau de dépenses)</t>
  </si>
  <si>
    <t>Porteurs ayant dépensé plus de 500€ sur les 6 derniers mois</t>
  </si>
  <si>
    <t>Porteurs ayant dépensé entre 100€ et 500€ sur les 6 derniers mois</t>
  </si>
  <si>
    <t>Porteurs ayant dépensé entre 25€ et 100€ sur les 6 derniers mois</t>
  </si>
  <si>
    <t>Porteurs ayant adhéré à la Carte Glow il y a moins de 4 mois</t>
  </si>
  <si>
    <t>Porteurs ayant dépensé moins de 25€ sur les 6 derniers mois</t>
  </si>
  <si>
    <t>Profils selon la segmentation Style de consommation (habitudes d'achat)</t>
  </si>
  <si>
    <t>Recherchent l'excellence, des produits haut de gamme et une expérience d'achat exclusive</t>
  </si>
  <si>
    <t>Sont attirés par les produits innovants et à la mode</t>
  </si>
  <si>
    <t>Optent pour des produits accessibles qui offrent un bon rapport qualité-prix</t>
  </si>
  <si>
    <t>Apprécient les produits fonctionnels, simples et efficaces</t>
  </si>
  <si>
    <t>Privilégient les cosmétiques naturels et respectueux de la planète</t>
  </si>
  <si>
    <t>Montant de la générosité</t>
  </si>
  <si>
    <t>Montant des Euros Carte Glow cagnottés par les porteurs</t>
  </si>
  <si>
    <t>Montant des Euros Carte Glow cagnottés par les porteurs / CA des porteurs de la Carte Glow</t>
  </si>
  <si>
    <t>Une sélection mensuelle de produits remisés</t>
  </si>
  <si>
    <t>Des journées offrant d'importantes réductions sur certains rayons</t>
  </si>
  <si>
    <t>Des jeux concours permettant de remporter des bons d’achat</t>
  </si>
  <si>
    <t>Des offres ciblées CRM</t>
  </si>
  <si>
    <t>Un bon d'achat offert aux clients à l’occasion de leur anniversaire</t>
  </si>
  <si>
    <t>DONNÉES SOURCES</t>
  </si>
  <si>
    <t>L'attrait de la Carte Glow</t>
  </si>
  <si>
    <t>Les avantages du programme de fidélité</t>
  </si>
  <si>
    <t>👉 Cliquez ici pour consulter les données brutes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</si>
</sst>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164" formatCode="#,##0.00\ &quot;€&quot;"/>
    <numFmt numFmtId="165" formatCode="#,##0\ &quot;€&quot;"/>
    <numFmt numFmtId="166" formatCode="0.0%"/>
    <numFmt numFmtId="167" formatCode="0.0"/>
    <numFmt numFmtId="168" formatCode="\+0%;\-0%"/>
    <numFmt numFmtId="169" formatCode="\+0.00;\-0.00"/>
    <numFmt numFmtId="170" formatCode="\+0.0;\-0.0"/>
    <numFmt numFmtId="171" formatCode="#\ ##0,,&quot; M€&quot;"/>
    <numFmt numFmtId="172" formatCode="#\ ##0,&quot; k&quot;"/>
    <numFmt numFmtId="173" formatCode="0.0\ &quot;visites&quot;"/>
  </numFmts>
  <fonts count="31" x14ac:knownFonts="1">
    <font>
      <sz val="11"/>
      <color theme="1"/>
      <name val="Calibri"/>
      <family val="2"/>
      <scheme val="minor"/>
    </font>
    <font>
      <sz val="11"/>
      <color theme="1"/>
      <name val="Calibri"/>
      <family val="2"/>
      <scheme val="minor"/>
    </font>
    <font>
      <b/>
      <sz val="11"/>
      <color indexed="9"/>
      <name val="Calibri"/>
      <family val="2"/>
    </font>
    <font>
      <b/>
      <sz val="11"/>
      <color theme="1"/>
      <name val="Calibri"/>
      <family val="2"/>
      <scheme val="minor"/>
    </font>
    <font>
      <b/>
      <sz val="18"/>
      <color theme="1"/>
      <name val="Calibri"/>
      <family val="2"/>
      <scheme val="minor"/>
    </font>
    <font>
      <sz val="8"/>
      <color theme="0" tint="-0.14999847407452621"/>
      <name val="Calibri"/>
      <family val="2"/>
      <scheme val="minor"/>
    </font>
    <font>
      <b/>
      <sz val="11"/>
      <color indexed="9"/>
      <name val="Calibri"/>
      <family val="2"/>
    </font>
    <font>
      <sz val="11"/>
      <color theme="1" tint="0.14999847407452621"/>
      <name val="Calibri"/>
      <family val="2"/>
      <scheme val="minor"/>
    </font>
    <font>
      <sz val="11"/>
      <color theme="1" tint="0.249977111117893"/>
      <name val="Calibri"/>
      <family val="2"/>
      <scheme val="minor"/>
    </font>
    <font>
      <i/>
      <sz val="11"/>
      <color theme="1" tint="0.249977111117893"/>
      <name val="Calibri"/>
      <family val="2"/>
      <scheme val="minor"/>
    </font>
    <font>
      <b/>
      <sz val="12"/>
      <color theme="1" tint="0.249977111117893"/>
      <name val="Calibri"/>
      <family val="2"/>
      <scheme val="minor"/>
    </font>
    <font>
      <b/>
      <sz val="14"/>
      <color theme="0"/>
      <name val="Castellar"/>
      <family val="1"/>
    </font>
    <font>
      <sz val="8"/>
      <name val="Calibri"/>
      <family val="2"/>
      <scheme val="minor"/>
    </font>
    <font>
      <b/>
      <sz val="16"/>
      <color rgb="FF9D8189"/>
      <name val="Calibri"/>
      <family val="2"/>
    </font>
    <font>
      <sz val="10"/>
      <color theme="1"/>
      <name val="Calibri"/>
      <family val="2"/>
      <scheme val="minor"/>
    </font>
    <font>
      <b/>
      <sz val="10"/>
      <color theme="1"/>
      <name val="Calibri"/>
      <family val="2"/>
      <scheme val="minor"/>
    </font>
    <font>
      <b/>
      <sz val="9"/>
      <color theme="1" tint="0.14999847407452621"/>
      <name val="Calibri"/>
      <family val="2"/>
      <scheme val="minor"/>
    </font>
    <font>
      <b/>
      <sz val="10"/>
      <color theme="1" tint="0.14999847407452621"/>
      <name val="Calibri"/>
      <family val="2"/>
      <scheme val="minor"/>
    </font>
    <font>
      <b/>
      <u/>
      <sz val="11"/>
      <color rgb="FF9D8189"/>
      <name val="Calibri"/>
      <family val="2"/>
      <scheme val="minor"/>
    </font>
    <font>
      <b/>
      <sz val="11"/>
      <color rgb="FFF4ACB7"/>
      <name val="Calibri"/>
      <family val="2"/>
      <scheme val="minor"/>
    </font>
    <font>
      <b/>
      <sz val="10"/>
      <color theme="0"/>
      <name val="Calibri"/>
      <family val="2"/>
      <scheme val="minor"/>
    </font>
    <font>
      <b/>
      <sz val="12"/>
      <color rgb="FF9D8189"/>
      <name val="Calibri"/>
      <family val="2"/>
      <scheme val="minor"/>
    </font>
    <font>
      <sz val="12"/>
      <color theme="1"/>
      <name val="Calibri"/>
      <family val="2"/>
      <scheme val="minor"/>
    </font>
    <font>
      <sz val="11"/>
      <color theme="0"/>
      <name val="Calibri"/>
      <family val="2"/>
      <scheme val="minor"/>
    </font>
    <font>
      <b/>
      <sz val="26"/>
      <color theme="0"/>
      <name val="Calibri"/>
      <family val="2"/>
      <scheme val="minor"/>
    </font>
    <font>
      <b/>
      <i/>
      <sz val="11"/>
      <color theme="1"/>
      <name val="Calibri"/>
      <family val="2"/>
      <scheme val="minor"/>
    </font>
    <font>
      <b/>
      <i/>
      <sz val="11"/>
      <color rgb="FFFFCAD4"/>
      <name val="Calibri"/>
      <family val="2"/>
      <scheme val="minor"/>
    </font>
    <font>
      <b/>
      <sz val="11"/>
      <color theme="0"/>
      <name val="Calibri"/>
      <family val="2"/>
      <scheme val="minor"/>
    </font>
    <font>
      <b/>
      <i/>
      <sz val="11"/>
      <color theme="0"/>
      <name val="Calibri"/>
      <family val="2"/>
      <scheme val="minor"/>
    </font>
    <font>
      <u/>
      <sz val="11"/>
      <color theme="10"/>
      <name val="Calibri"/>
      <family val="2"/>
      <scheme val="minor"/>
    </font>
    <font>
      <sz val="9"/>
      <color theme="1"/>
      <name val="Calibri"/>
      <family val="2"/>
      <scheme val="minor"/>
    </font>
  </fonts>
  <fills count="9">
    <fill>
      <patternFill patternType="none"/>
    </fill>
    <fill>
      <patternFill patternType="gray125"/>
    </fill>
    <fill>
      <patternFill patternType="solid">
        <fgColor theme="0" tint="-4.9989318521683403E-2"/>
        <bgColor indexed="64"/>
      </patternFill>
    </fill>
    <fill>
      <patternFill patternType="solid">
        <fgColor theme="0"/>
        <bgColor indexed="64"/>
      </patternFill>
    </fill>
    <fill>
      <patternFill patternType="solid">
        <fgColor rgb="FF9D8189"/>
        <bgColor indexed="64"/>
      </patternFill>
    </fill>
    <fill>
      <patternFill patternType="solid">
        <fgColor rgb="FFD8E2DC"/>
        <bgColor indexed="64"/>
      </patternFill>
    </fill>
    <fill>
      <patternFill patternType="solid">
        <fgColor rgb="FFFFCAD4"/>
        <bgColor indexed="64"/>
      </patternFill>
    </fill>
    <fill>
      <patternFill patternType="solid">
        <fgColor theme="0" tint="-0.14999847407452621"/>
        <bgColor indexed="64"/>
      </patternFill>
    </fill>
    <fill>
      <patternFill patternType="solid">
        <fgColor rgb="FFD9CDD0"/>
        <bgColor indexed="64"/>
      </patternFill>
    </fill>
  </fills>
  <borders count="31">
    <border>
      <left/>
      <right/>
      <top/>
      <bottom/>
      <diagonal/>
    </border>
    <border>
      <left style="medium">
        <color rgb="FFD8E2DC"/>
      </left>
      <right/>
      <top style="medium">
        <color rgb="FFD8E2DC"/>
      </top>
      <bottom/>
      <diagonal/>
    </border>
    <border>
      <left/>
      <right/>
      <top style="medium">
        <color rgb="FFD8E2DC"/>
      </top>
      <bottom/>
      <diagonal/>
    </border>
    <border>
      <left/>
      <right style="medium">
        <color rgb="FFD8E2DC"/>
      </right>
      <top style="medium">
        <color rgb="FFD8E2DC"/>
      </top>
      <bottom/>
      <diagonal/>
    </border>
    <border>
      <left style="medium">
        <color rgb="FFD8E2DC"/>
      </left>
      <right/>
      <top/>
      <bottom/>
      <diagonal/>
    </border>
    <border>
      <left/>
      <right style="medium">
        <color rgb="FFD8E2DC"/>
      </right>
      <top/>
      <bottom/>
      <diagonal/>
    </border>
    <border>
      <left style="medium">
        <color rgb="FFD8E2DC"/>
      </left>
      <right/>
      <top/>
      <bottom style="medium">
        <color rgb="FFD8E2DC"/>
      </bottom>
      <diagonal/>
    </border>
    <border>
      <left/>
      <right/>
      <top/>
      <bottom style="medium">
        <color rgb="FFD8E2DC"/>
      </bottom>
      <diagonal/>
    </border>
    <border>
      <left/>
      <right style="medium">
        <color rgb="FFD8E2DC"/>
      </right>
      <top/>
      <bottom style="medium">
        <color rgb="FFD8E2DC"/>
      </bottom>
      <diagonal/>
    </border>
    <border>
      <left style="thin">
        <color rgb="FFFFCAD4"/>
      </left>
      <right/>
      <top style="thin">
        <color rgb="FFFFCAD4"/>
      </top>
      <bottom/>
      <diagonal/>
    </border>
    <border>
      <left/>
      <right/>
      <top style="thin">
        <color rgb="FFFFCAD4"/>
      </top>
      <bottom/>
      <diagonal/>
    </border>
    <border>
      <left/>
      <right style="thin">
        <color rgb="FFFFCAD4"/>
      </right>
      <top style="thin">
        <color rgb="FFFFCAD4"/>
      </top>
      <bottom/>
      <diagonal/>
    </border>
    <border>
      <left style="thin">
        <color rgb="FFFFCAD4"/>
      </left>
      <right/>
      <top/>
      <bottom/>
      <diagonal/>
    </border>
    <border>
      <left/>
      <right style="thin">
        <color rgb="FFFFCAD4"/>
      </right>
      <top/>
      <bottom/>
      <diagonal/>
    </border>
    <border>
      <left style="thin">
        <color rgb="FFFFCAD4"/>
      </left>
      <right/>
      <top/>
      <bottom style="thin">
        <color rgb="FFFFCAD4"/>
      </bottom>
      <diagonal/>
    </border>
    <border>
      <left/>
      <right/>
      <top/>
      <bottom style="thin">
        <color rgb="FFFFCAD4"/>
      </bottom>
      <diagonal/>
    </border>
    <border>
      <left/>
      <right style="thin">
        <color rgb="FFFFCAD4"/>
      </right>
      <top/>
      <bottom style="thin">
        <color rgb="FFFFCAD4"/>
      </bottom>
      <diagonal/>
    </border>
    <border>
      <left style="thin">
        <color rgb="FFFFCAD4"/>
      </left>
      <right/>
      <top style="thin">
        <color rgb="FFFFCAD4"/>
      </top>
      <bottom style="thin">
        <color rgb="FFFFCAD4"/>
      </bottom>
      <diagonal/>
    </border>
    <border>
      <left/>
      <right/>
      <top style="thin">
        <color rgb="FFFFCAD4"/>
      </top>
      <bottom style="thin">
        <color rgb="FFFFCAD4"/>
      </bottom>
      <diagonal/>
    </border>
    <border>
      <left/>
      <right style="thin">
        <color rgb="FFFFCAD4"/>
      </right>
      <top style="thin">
        <color rgb="FFFFCAD4"/>
      </top>
      <bottom style="thin">
        <color rgb="FFFFCAD4"/>
      </bottom>
      <diagonal/>
    </border>
    <border>
      <left style="thin">
        <color rgb="FF9D8189"/>
      </left>
      <right/>
      <top style="thin">
        <color rgb="FF9D8189"/>
      </top>
      <bottom/>
      <diagonal/>
    </border>
    <border>
      <left/>
      <right/>
      <top style="thin">
        <color rgb="FF9D8189"/>
      </top>
      <bottom/>
      <diagonal/>
    </border>
    <border>
      <left/>
      <right style="thin">
        <color rgb="FF9D8189"/>
      </right>
      <top style="thin">
        <color rgb="FF9D8189"/>
      </top>
      <bottom/>
      <diagonal/>
    </border>
    <border>
      <left style="thin">
        <color rgb="FF9D8189"/>
      </left>
      <right/>
      <top/>
      <bottom/>
      <diagonal/>
    </border>
    <border>
      <left/>
      <right style="thin">
        <color rgb="FF9D8189"/>
      </right>
      <top/>
      <bottom/>
      <diagonal/>
    </border>
    <border>
      <left style="thin">
        <color rgb="FF9D8189"/>
      </left>
      <right/>
      <top/>
      <bottom style="thin">
        <color rgb="FF9D8189"/>
      </bottom>
      <diagonal/>
    </border>
    <border>
      <left/>
      <right/>
      <top/>
      <bottom style="thin">
        <color rgb="FF9D8189"/>
      </bottom>
      <diagonal/>
    </border>
    <border>
      <left/>
      <right style="thin">
        <color rgb="FF9D8189"/>
      </right>
      <top/>
      <bottom style="thin">
        <color rgb="FF9D8189"/>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rgb="FF9D8189"/>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rgb="FF9D8189"/>
      </right>
      <top style="thin">
        <color theme="0" tint="-4.9989318521683403E-2"/>
      </top>
      <bottom style="thin">
        <color theme="0" tint="-4.9989318521683403E-2"/>
      </bottom>
      <diagonal/>
    </border>
  </borders>
  <cellStyleXfs count="3">
    <xf numFmtId="0" fontId="0" fillId="0" borderId="0"/>
    <xf numFmtId="9" fontId="1" fillId="0" borderId="0" applyFont="0" applyFill="0" applyBorder="0" applyAlignment="0" applyProtection="0"/>
    <xf numFmtId="0" fontId="29" fillId="0" borderId="0" applyNumberFormat="0" applyFill="0" applyBorder="0" applyAlignment="0" applyProtection="0"/>
  </cellStyleXfs>
  <cellXfs count="132">
    <xf numFmtId="0" fontId="0" fillId="0" borderId="0" xfId="0"/>
    <xf numFmtId="1" fontId="0" fillId="0" borderId="0" xfId="0" applyNumberFormat="1"/>
    <xf numFmtId="3" fontId="0" fillId="0" borderId="0" xfId="0" applyNumberFormat="1"/>
    <xf numFmtId="164" fontId="0" fillId="0" borderId="0" xfId="0" applyNumberFormat="1"/>
    <xf numFmtId="165" fontId="0" fillId="0" borderId="0" xfId="0" applyNumberFormat="1"/>
    <xf numFmtId="10" fontId="0" fillId="0" borderId="0" xfId="0" applyNumberFormat="1"/>
    <xf numFmtId="167" fontId="0" fillId="0" borderId="0" xfId="0" applyNumberFormat="1"/>
    <xf numFmtId="168" fontId="0" fillId="0" borderId="0" xfId="0" applyNumberFormat="1"/>
    <xf numFmtId="169" fontId="0" fillId="0" borderId="0" xfId="0" applyNumberFormat="1"/>
    <xf numFmtId="0" fontId="0" fillId="3" borderId="0" xfId="0" applyFill="1"/>
    <xf numFmtId="0" fontId="0" fillId="2" borderId="0" xfId="0" applyFill="1"/>
    <xf numFmtId="0" fontId="14" fillId="2" borderId="0" xfId="0" applyFont="1" applyFill="1" applyAlignment="1">
      <alignment horizontal="center" vertical="center" wrapText="1"/>
    </xf>
    <xf numFmtId="0" fontId="14" fillId="3" borderId="0" xfId="0" applyFont="1" applyFill="1" applyBorder="1" applyAlignment="1">
      <alignment vertical="center" wrapText="1"/>
    </xf>
    <xf numFmtId="0" fontId="20" fillId="6" borderId="9" xfId="0" applyFont="1" applyFill="1" applyBorder="1" applyAlignment="1">
      <alignment horizontal="center" vertical="center" wrapText="1"/>
    </xf>
    <xf numFmtId="0" fontId="20" fillId="6" borderId="10" xfId="0" applyFont="1" applyFill="1" applyBorder="1" applyAlignment="1">
      <alignment horizontal="center" vertical="center" wrapText="1"/>
    </xf>
    <xf numFmtId="0" fontId="20" fillId="6" borderId="11" xfId="0" applyFont="1" applyFill="1" applyBorder="1" applyAlignment="1">
      <alignment horizontal="center" vertical="center" wrapText="1"/>
    </xf>
    <xf numFmtId="0" fontId="0" fillId="3" borderId="20" xfId="0" applyFill="1" applyBorder="1"/>
    <xf numFmtId="0" fontId="0" fillId="3" borderId="21" xfId="0" applyFill="1" applyBorder="1"/>
    <xf numFmtId="0" fontId="0" fillId="3" borderId="22" xfId="0" applyFill="1" applyBorder="1"/>
    <xf numFmtId="0" fontId="0" fillId="3" borderId="23" xfId="0" applyFill="1" applyBorder="1"/>
    <xf numFmtId="0" fontId="0" fillId="3" borderId="0" xfId="0" applyFill="1" applyBorder="1"/>
    <xf numFmtId="0" fontId="0" fillId="3" borderId="24" xfId="0" applyFill="1" applyBorder="1"/>
    <xf numFmtId="0" fontId="0" fillId="6" borderId="23" xfId="0" applyFill="1" applyBorder="1"/>
    <xf numFmtId="0" fontId="0" fillId="6" borderId="0" xfId="0" applyFill="1" applyBorder="1"/>
    <xf numFmtId="0" fontId="0" fillId="6" borderId="24" xfId="0" applyFill="1" applyBorder="1"/>
    <xf numFmtId="0" fontId="0" fillId="4" borderId="23" xfId="0" applyFill="1" applyBorder="1"/>
    <xf numFmtId="0" fontId="0" fillId="4" borderId="0" xfId="0" applyFill="1" applyBorder="1"/>
    <xf numFmtId="0" fontId="0" fillId="4" borderId="24" xfId="0" applyFill="1" applyBorder="1"/>
    <xf numFmtId="0" fontId="14" fillId="3" borderId="0" xfId="0" applyFont="1" applyFill="1" applyBorder="1" applyAlignment="1">
      <alignment horizontal="center" vertical="center" wrapText="1"/>
    </xf>
    <xf numFmtId="0" fontId="14" fillId="3" borderId="24" xfId="0" applyFont="1" applyFill="1" applyBorder="1" applyAlignment="1">
      <alignment horizontal="center" wrapText="1"/>
    </xf>
    <xf numFmtId="0" fontId="7" fillId="3" borderId="0" xfId="0" applyFont="1" applyFill="1" applyBorder="1"/>
    <xf numFmtId="0" fontId="7" fillId="3" borderId="23" xfId="0" applyFont="1" applyFill="1" applyBorder="1"/>
    <xf numFmtId="0" fontId="0" fillId="3" borderId="0" xfId="0" applyFill="1" applyBorder="1" applyAlignment="1"/>
    <xf numFmtId="0" fontId="0" fillId="3" borderId="0" xfId="0" quotePrefix="1" applyFill="1" applyBorder="1" applyAlignment="1"/>
    <xf numFmtId="0" fontId="22" fillId="3" borderId="0" xfId="0" applyFont="1" applyFill="1" applyBorder="1" applyAlignment="1">
      <alignment vertical="center"/>
    </xf>
    <xf numFmtId="0" fontId="14" fillId="3" borderId="23" xfId="0" applyFont="1" applyFill="1" applyBorder="1" applyAlignment="1">
      <alignment horizontal="center" vertical="center" wrapText="1"/>
    </xf>
    <xf numFmtId="0" fontId="14" fillId="3" borderId="24" xfId="0" applyFont="1" applyFill="1" applyBorder="1" applyAlignment="1">
      <alignment horizontal="center" vertical="center" wrapText="1"/>
    </xf>
    <xf numFmtId="0" fontId="0" fillId="3" borderId="25" xfId="0" applyFill="1" applyBorder="1"/>
    <xf numFmtId="0" fontId="0" fillId="3" borderId="26" xfId="0" applyFill="1" applyBorder="1"/>
    <xf numFmtId="0" fontId="0" fillId="3" borderId="27" xfId="0" applyFill="1" applyBorder="1"/>
    <xf numFmtId="0" fontId="14" fillId="3" borderId="0" xfId="0" applyFont="1" applyFill="1" applyBorder="1" applyAlignment="1">
      <alignment horizontal="center" vertical="center" wrapText="1"/>
    </xf>
    <xf numFmtId="0" fontId="25" fillId="3" borderId="0" xfId="0" applyFont="1" applyFill="1"/>
    <xf numFmtId="0" fontId="23" fillId="3" borderId="0" xfId="0" applyFont="1" applyFill="1"/>
    <xf numFmtId="0" fontId="3" fillId="7" borderId="28" xfId="0" applyFont="1" applyFill="1" applyBorder="1" applyAlignment="1">
      <alignment horizontal="center" vertical="center" wrapText="1"/>
    </xf>
    <xf numFmtId="0" fontId="0" fillId="3" borderId="28" xfId="0" applyFill="1" applyBorder="1" applyAlignment="1">
      <alignment vertical="center"/>
    </xf>
    <xf numFmtId="0" fontId="0" fillId="3" borderId="28" xfId="0" applyFill="1" applyBorder="1" applyAlignment="1">
      <alignment horizontal="left" vertical="center"/>
    </xf>
    <xf numFmtId="165" fontId="0" fillId="3" borderId="28" xfId="0" applyNumberFormat="1" applyFill="1" applyBorder="1" applyAlignment="1">
      <alignment horizontal="center" vertical="center"/>
    </xf>
    <xf numFmtId="168" fontId="0" fillId="3" borderId="28" xfId="0" applyNumberFormat="1" applyFill="1" applyBorder="1" applyAlignment="1">
      <alignment horizontal="center" vertical="center"/>
    </xf>
    <xf numFmtId="3" fontId="0" fillId="3" borderId="28" xfId="0" applyNumberFormat="1" applyFill="1" applyBorder="1" applyAlignment="1">
      <alignment horizontal="center" vertical="center"/>
    </xf>
    <xf numFmtId="166" fontId="0" fillId="3" borderId="28" xfId="0" applyNumberFormat="1" applyFill="1" applyBorder="1" applyAlignment="1">
      <alignment horizontal="center" vertical="center"/>
    </xf>
    <xf numFmtId="170" fontId="0" fillId="3" borderId="28" xfId="0" applyNumberFormat="1" applyFill="1" applyBorder="1" applyAlignment="1">
      <alignment horizontal="center" vertical="center"/>
    </xf>
    <xf numFmtId="164" fontId="0" fillId="3" borderId="28" xfId="0" applyNumberFormat="1" applyFill="1" applyBorder="1" applyAlignment="1">
      <alignment horizontal="center" vertical="center"/>
    </xf>
    <xf numFmtId="2" fontId="0" fillId="3" borderId="28" xfId="0" applyNumberFormat="1" applyFill="1" applyBorder="1" applyAlignment="1">
      <alignment horizontal="center" vertical="center"/>
    </xf>
    <xf numFmtId="166" fontId="0" fillId="0" borderId="0" xfId="1" applyNumberFormat="1" applyFont="1"/>
    <xf numFmtId="0" fontId="28" fillId="3" borderId="0" xfId="0" applyFont="1" applyFill="1"/>
    <xf numFmtId="0" fontId="30" fillId="3" borderId="17" xfId="0" applyFont="1" applyFill="1" applyBorder="1" applyAlignment="1">
      <alignment horizontal="left" vertical="center" wrapText="1"/>
    </xf>
    <xf numFmtId="0" fontId="30" fillId="3" borderId="12" xfId="0" applyFont="1" applyFill="1" applyBorder="1" applyAlignment="1">
      <alignment horizontal="left" vertical="center" wrapText="1"/>
    </xf>
    <xf numFmtId="0" fontId="30" fillId="3" borderId="14" xfId="0" applyFont="1" applyFill="1" applyBorder="1" applyAlignment="1">
      <alignment horizontal="left" vertical="center" wrapText="1"/>
    </xf>
    <xf numFmtId="166" fontId="30" fillId="3" borderId="18" xfId="0" applyNumberFormat="1" applyFont="1" applyFill="1" applyBorder="1" applyAlignment="1">
      <alignment horizontal="center" vertical="center" wrapText="1"/>
    </xf>
    <xf numFmtId="164" fontId="30" fillId="3" borderId="19" xfId="0" applyNumberFormat="1" applyFont="1" applyFill="1" applyBorder="1" applyAlignment="1">
      <alignment horizontal="center" vertical="center" wrapText="1"/>
    </xf>
    <xf numFmtId="166" fontId="30" fillId="3" borderId="0" xfId="0" applyNumberFormat="1" applyFont="1" applyFill="1" applyBorder="1" applyAlignment="1">
      <alignment horizontal="center" vertical="center" wrapText="1"/>
    </xf>
    <xf numFmtId="164" fontId="30" fillId="3" borderId="13" xfId="0" applyNumberFormat="1" applyFont="1" applyFill="1" applyBorder="1" applyAlignment="1">
      <alignment horizontal="center" vertical="center" wrapText="1"/>
    </xf>
    <xf numFmtId="166" fontId="30" fillId="3" borderId="15" xfId="0" applyNumberFormat="1" applyFont="1" applyFill="1" applyBorder="1" applyAlignment="1">
      <alignment horizontal="center" vertical="center" wrapText="1"/>
    </xf>
    <xf numFmtId="164" fontId="30" fillId="3" borderId="16" xfId="0" applyNumberFormat="1" applyFont="1" applyFill="1" applyBorder="1" applyAlignment="1">
      <alignment horizontal="center" vertical="center" wrapText="1"/>
    </xf>
    <xf numFmtId="2" fontId="30" fillId="3" borderId="18" xfId="0" applyNumberFormat="1" applyFont="1" applyFill="1" applyBorder="1" applyAlignment="1">
      <alignment horizontal="center" vertical="center" wrapText="1"/>
    </xf>
    <xf numFmtId="2" fontId="30" fillId="3" borderId="0" xfId="0" applyNumberFormat="1" applyFont="1" applyFill="1" applyBorder="1" applyAlignment="1">
      <alignment horizontal="center" vertical="center" wrapText="1"/>
    </xf>
    <xf numFmtId="2" fontId="30" fillId="3" borderId="15" xfId="0" applyNumberFormat="1" applyFont="1" applyFill="1" applyBorder="1" applyAlignment="1">
      <alignment horizontal="center" vertical="center" wrapText="1"/>
    </xf>
    <xf numFmtId="0" fontId="0" fillId="3" borderId="0" xfId="0" applyFill="1" applyAlignment="1">
      <alignment horizontal="right"/>
    </xf>
    <xf numFmtId="0" fontId="0" fillId="3" borderId="0" xfId="0" applyFill="1" applyAlignment="1">
      <alignment vertical="center"/>
    </xf>
    <xf numFmtId="0" fontId="0" fillId="3" borderId="23" xfId="0" applyFill="1" applyBorder="1" applyAlignment="1">
      <alignment horizontal="right"/>
    </xf>
    <xf numFmtId="0" fontId="0" fillId="3" borderId="25" xfId="0" applyFill="1" applyBorder="1" applyAlignment="1">
      <alignment horizontal="right"/>
    </xf>
    <xf numFmtId="0" fontId="3" fillId="3" borderId="23" xfId="0" applyFont="1" applyFill="1" applyBorder="1"/>
    <xf numFmtId="0" fontId="3" fillId="6" borderId="23" xfId="0" applyFont="1" applyFill="1" applyBorder="1"/>
    <xf numFmtId="0" fontId="26" fillId="3" borderId="23" xfId="0" applyFont="1" applyFill="1" applyBorder="1"/>
    <xf numFmtId="0" fontId="25" fillId="3" borderId="0" xfId="0" applyFont="1" applyFill="1" applyBorder="1"/>
    <xf numFmtId="0" fontId="25" fillId="3" borderId="24" xfId="0" applyFont="1" applyFill="1" applyBorder="1"/>
    <xf numFmtId="0" fontId="5" fillId="3" borderId="0" xfId="0" applyFont="1" applyFill="1" applyBorder="1" applyAlignment="1">
      <alignment horizontal="center" vertical="center" wrapText="1"/>
    </xf>
    <xf numFmtId="0" fontId="5" fillId="3" borderId="24" xfId="0" applyFont="1" applyFill="1" applyBorder="1" applyAlignment="1">
      <alignment horizontal="center" vertical="center" wrapText="1"/>
    </xf>
    <xf numFmtId="0" fontId="3" fillId="7" borderId="29" xfId="0" applyFont="1" applyFill="1" applyBorder="1" applyAlignment="1">
      <alignment horizontal="center" vertical="center" wrapText="1"/>
    </xf>
    <xf numFmtId="0" fontId="3" fillId="7" borderId="30" xfId="0" applyFont="1" applyFill="1" applyBorder="1" applyAlignment="1">
      <alignment horizontal="center" vertical="center" wrapText="1"/>
    </xf>
    <xf numFmtId="0" fontId="0" fillId="3" borderId="29" xfId="0" applyFill="1" applyBorder="1" applyAlignment="1">
      <alignment vertical="center"/>
    </xf>
    <xf numFmtId="170" fontId="0" fillId="3" borderId="30" xfId="0" applyNumberFormat="1" applyFill="1" applyBorder="1" applyAlignment="1">
      <alignment horizontal="center" vertical="center"/>
    </xf>
    <xf numFmtId="0" fontId="29" fillId="3" borderId="23" xfId="2" applyFill="1" applyBorder="1"/>
    <xf numFmtId="0" fontId="0" fillId="0" borderId="0" xfId="0" applyFill="1" applyAlignment="1">
      <alignment horizontal="center" vertical="center" wrapText="1"/>
    </xf>
    <xf numFmtId="0" fontId="2" fillId="4" borderId="0" xfId="0" applyFont="1" applyFill="1" applyAlignment="1">
      <alignment horizontal="center" vertical="center" wrapText="1"/>
    </xf>
    <xf numFmtId="165" fontId="2" fillId="5" borderId="0" xfId="0" applyNumberFormat="1" applyFont="1" applyFill="1" applyAlignment="1">
      <alignment horizontal="center" vertical="center" wrapText="1"/>
    </xf>
    <xf numFmtId="10" fontId="2" fillId="5" borderId="0" xfId="0" applyNumberFormat="1" applyFont="1" applyFill="1" applyAlignment="1">
      <alignment horizontal="center" vertical="center" wrapText="1"/>
    </xf>
    <xf numFmtId="3" fontId="2" fillId="5" borderId="0" xfId="0" applyNumberFormat="1" applyFont="1" applyFill="1" applyAlignment="1">
      <alignment horizontal="center" vertical="center" wrapText="1"/>
    </xf>
    <xf numFmtId="164" fontId="2" fillId="5" borderId="0" xfId="0" applyNumberFormat="1" applyFont="1" applyFill="1" applyAlignment="1">
      <alignment horizontal="center" vertical="center" wrapText="1"/>
    </xf>
    <xf numFmtId="167" fontId="2" fillId="5" borderId="0" xfId="0" applyNumberFormat="1" applyFont="1" applyFill="1" applyAlignment="1">
      <alignment horizontal="center" vertical="center" wrapText="1"/>
    </xf>
    <xf numFmtId="168" fontId="2" fillId="8" borderId="0" xfId="0" applyNumberFormat="1" applyFont="1" applyFill="1" applyAlignment="1">
      <alignment horizontal="center" vertical="center" wrapText="1"/>
    </xf>
    <xf numFmtId="169" fontId="2" fillId="8" borderId="0" xfId="0" applyNumberFormat="1" applyFont="1" applyFill="1" applyAlignment="1">
      <alignment horizontal="center" vertical="center" wrapText="1"/>
    </xf>
    <xf numFmtId="168" fontId="6" fillId="8" borderId="0" xfId="0" applyNumberFormat="1" applyFont="1" applyFill="1" applyAlignment="1">
      <alignment horizontal="center" vertical="center" wrapText="1"/>
    </xf>
    <xf numFmtId="165" fontId="2" fillId="6" borderId="0" xfId="0" applyNumberFormat="1" applyFont="1" applyFill="1" applyAlignment="1">
      <alignment horizontal="center" vertical="center" wrapText="1"/>
    </xf>
    <xf numFmtId="10" fontId="2" fillId="6" borderId="0" xfId="0" applyNumberFormat="1" applyFont="1" applyFill="1" applyAlignment="1">
      <alignment horizontal="center" vertical="center" wrapText="1"/>
    </xf>
    <xf numFmtId="3" fontId="2" fillId="6" borderId="0" xfId="0" applyNumberFormat="1" applyFont="1" applyFill="1" applyAlignment="1">
      <alignment horizontal="center" vertical="center" wrapText="1"/>
    </xf>
    <xf numFmtId="164" fontId="2" fillId="6" borderId="0" xfId="0" applyNumberFormat="1" applyFont="1" applyFill="1" applyAlignment="1">
      <alignment horizontal="center" vertical="center" wrapText="1"/>
    </xf>
    <xf numFmtId="167" fontId="2" fillId="6" borderId="0" xfId="0" applyNumberFormat="1" applyFont="1" applyFill="1" applyAlignment="1">
      <alignment horizontal="center" vertical="center" wrapText="1"/>
    </xf>
    <xf numFmtId="166" fontId="2" fillId="6" borderId="0" xfId="1" applyNumberFormat="1" applyFont="1" applyFill="1" applyAlignment="1">
      <alignment horizontal="center" vertical="center" wrapText="1"/>
    </xf>
    <xf numFmtId="0" fontId="16" fillId="5" borderId="0" xfId="0" applyFont="1" applyFill="1" applyBorder="1" applyAlignment="1">
      <alignment horizontal="left" vertical="center" wrapText="1"/>
    </xf>
    <xf numFmtId="0" fontId="14" fillId="3" borderId="0" xfId="0" applyFont="1" applyFill="1" applyBorder="1" applyAlignment="1">
      <alignment horizontal="center" vertical="center" wrapText="1"/>
    </xf>
    <xf numFmtId="0" fontId="21" fillId="3" borderId="15" xfId="0" applyFont="1" applyFill="1" applyBorder="1" applyAlignment="1">
      <alignment horizontal="center" vertical="center"/>
    </xf>
    <xf numFmtId="0" fontId="11" fillId="4" borderId="0" xfId="0" applyFont="1" applyFill="1" applyBorder="1" applyAlignment="1">
      <alignment horizontal="center" vertical="center"/>
    </xf>
    <xf numFmtId="164" fontId="17" fillId="3" borderId="0" xfId="0" applyNumberFormat="1" applyFont="1" applyFill="1" applyBorder="1" applyAlignment="1">
      <alignment horizontal="center"/>
    </xf>
    <xf numFmtId="168" fontId="15" fillId="3" borderId="0" xfId="0" applyNumberFormat="1" applyFont="1" applyFill="1" applyBorder="1" applyAlignment="1">
      <alignment horizontal="center"/>
    </xf>
    <xf numFmtId="173" fontId="17" fillId="3" borderId="0" xfId="0" applyNumberFormat="1" applyFont="1" applyFill="1" applyBorder="1" applyAlignment="1">
      <alignment horizontal="center"/>
    </xf>
    <xf numFmtId="172" fontId="17" fillId="3" borderId="0" xfId="0" applyNumberFormat="1" applyFont="1" applyFill="1" applyBorder="1" applyAlignment="1">
      <alignment horizontal="center"/>
    </xf>
    <xf numFmtId="0" fontId="14" fillId="3" borderId="1" xfId="0" applyFont="1" applyFill="1" applyBorder="1" applyAlignment="1">
      <alignment horizontal="center" vertical="center" wrapText="1"/>
    </xf>
    <xf numFmtId="0" fontId="14" fillId="3" borderId="2" xfId="0" applyFont="1" applyFill="1" applyBorder="1" applyAlignment="1">
      <alignment horizontal="center" vertical="center" wrapText="1"/>
    </xf>
    <xf numFmtId="0" fontId="14" fillId="3" borderId="3" xfId="0" applyFont="1" applyFill="1" applyBorder="1" applyAlignment="1">
      <alignment horizontal="center" vertical="center" wrapText="1"/>
    </xf>
    <xf numFmtId="0" fontId="14" fillId="3" borderId="4" xfId="0" applyFont="1" applyFill="1" applyBorder="1" applyAlignment="1">
      <alignment horizontal="center" vertical="center" wrapText="1"/>
    </xf>
    <xf numFmtId="0" fontId="14" fillId="3" borderId="5" xfId="0" applyFont="1" applyFill="1" applyBorder="1" applyAlignment="1">
      <alignment horizontal="center" vertical="center" wrapText="1"/>
    </xf>
    <xf numFmtId="0" fontId="14" fillId="3" borderId="6" xfId="0" applyFont="1" applyFill="1" applyBorder="1" applyAlignment="1">
      <alignment horizontal="center" vertical="center" wrapText="1"/>
    </xf>
    <xf numFmtId="0" fontId="14" fillId="3" borderId="7" xfId="0" applyFont="1" applyFill="1" applyBorder="1" applyAlignment="1">
      <alignment horizontal="center" vertical="center" wrapText="1"/>
    </xf>
    <xf numFmtId="0" fontId="14" fillId="3" borderId="8" xfId="0" applyFont="1" applyFill="1" applyBorder="1" applyAlignment="1">
      <alignment horizontal="center" vertical="center" wrapText="1"/>
    </xf>
    <xf numFmtId="49" fontId="13" fillId="6" borderId="0" xfId="0" applyNumberFormat="1" applyFont="1" applyFill="1" applyBorder="1" applyAlignment="1">
      <alignment horizontal="center" vertical="center"/>
    </xf>
    <xf numFmtId="0" fontId="8" fillId="3" borderId="0" xfId="0" applyFont="1" applyFill="1" applyBorder="1" applyAlignment="1">
      <alignment horizontal="center" vertical="center" wrapText="1"/>
    </xf>
    <xf numFmtId="171" fontId="17" fillId="3" borderId="0" xfId="0" applyNumberFormat="1" applyFont="1" applyFill="1" applyBorder="1" applyAlignment="1">
      <alignment horizontal="center"/>
    </xf>
    <xf numFmtId="0" fontId="18" fillId="3" borderId="0" xfId="0" applyFont="1" applyFill="1" applyBorder="1" applyAlignment="1">
      <alignment horizontal="center" vertical="center" wrapText="1"/>
    </xf>
    <xf numFmtId="0" fontId="27" fillId="8" borderId="23" xfId="0" applyFont="1" applyFill="1" applyBorder="1" applyAlignment="1">
      <alignment horizontal="center"/>
    </xf>
    <xf numFmtId="0" fontId="27" fillId="8" borderId="0" xfId="0" applyFont="1" applyFill="1" applyBorder="1" applyAlignment="1">
      <alignment horizontal="center"/>
    </xf>
    <xf numFmtId="0" fontId="27" fillId="8" borderId="24" xfId="0" applyFont="1" applyFill="1" applyBorder="1" applyAlignment="1">
      <alignment horizontal="center"/>
    </xf>
    <xf numFmtId="0" fontId="24" fillId="4" borderId="20" xfId="0" applyFont="1" applyFill="1" applyBorder="1" applyAlignment="1">
      <alignment horizontal="center" vertical="center"/>
    </xf>
    <xf numFmtId="0" fontId="24" fillId="4" borderId="21" xfId="0" applyFont="1" applyFill="1" applyBorder="1" applyAlignment="1">
      <alignment horizontal="center" vertical="center"/>
    </xf>
    <xf numFmtId="0" fontId="24" fillId="4" borderId="22" xfId="0" applyFont="1" applyFill="1" applyBorder="1" applyAlignment="1">
      <alignment horizontal="center" vertical="center"/>
    </xf>
    <xf numFmtId="0" fontId="4" fillId="5" borderId="23" xfId="0" applyFont="1" applyFill="1" applyBorder="1" applyAlignment="1">
      <alignment horizontal="center" vertical="center"/>
    </xf>
    <xf numFmtId="0" fontId="4" fillId="5" borderId="0" xfId="0" applyFont="1" applyFill="1" applyBorder="1" applyAlignment="1">
      <alignment horizontal="center" vertical="center"/>
    </xf>
    <xf numFmtId="0" fontId="4" fillId="5" borderId="24" xfId="0" applyFont="1" applyFill="1" applyBorder="1" applyAlignment="1">
      <alignment horizontal="center" vertical="center"/>
    </xf>
    <xf numFmtId="0" fontId="0" fillId="3" borderId="29" xfId="0" applyFill="1" applyBorder="1" applyAlignment="1">
      <alignment horizontal="left"/>
    </xf>
    <xf numFmtId="0" fontId="0" fillId="3" borderId="28" xfId="0" applyFill="1" applyBorder="1" applyAlignment="1">
      <alignment horizontal="left"/>
    </xf>
    <xf numFmtId="0" fontId="3" fillId="7" borderId="29" xfId="0" applyFont="1" applyFill="1" applyBorder="1" applyAlignment="1">
      <alignment horizontal="left" vertical="center" wrapText="1"/>
    </xf>
    <xf numFmtId="0" fontId="3" fillId="7" borderId="28" xfId="0" applyFont="1" applyFill="1" applyBorder="1" applyAlignment="1">
      <alignment horizontal="left" vertical="center" wrapText="1"/>
    </xf>
  </cellXfs>
  <cellStyles count="3">
    <cellStyle name="Lien hypertexte" xfId="2" builtinId="8"/>
    <cellStyle name="Normal" xfId="0" builtinId="0"/>
    <cellStyle name="Pourcentage" xfId="1" builtinId="5"/>
  </cellStyles>
  <dxfs count="20">
    <dxf>
      <font>
        <color theme="6"/>
      </font>
    </dxf>
    <dxf>
      <font>
        <color theme="9"/>
      </font>
    </dxf>
    <dxf>
      <font>
        <color theme="1" tint="0.499984740745262"/>
      </font>
    </dxf>
    <dxf>
      <font>
        <color theme="6"/>
      </font>
    </dxf>
    <dxf>
      <font>
        <color theme="6"/>
      </font>
    </dxf>
    <dxf>
      <font>
        <color theme="9"/>
      </font>
    </dxf>
    <dxf>
      <font>
        <color theme="1" tint="0.499984740745262"/>
      </font>
    </dxf>
    <dxf>
      <font>
        <color theme="6"/>
      </font>
    </dxf>
    <dxf>
      <font>
        <color theme="6"/>
      </font>
    </dxf>
    <dxf>
      <font>
        <color theme="9"/>
      </font>
    </dxf>
    <dxf>
      <font>
        <color theme="1" tint="0.499984740745262"/>
      </font>
    </dxf>
    <dxf>
      <font>
        <color theme="6"/>
      </font>
    </dxf>
    <dxf>
      <font>
        <color theme="6"/>
      </font>
    </dxf>
    <dxf>
      <font>
        <color theme="9"/>
      </font>
    </dxf>
    <dxf>
      <font>
        <color theme="1" tint="0.499984740745262"/>
      </font>
    </dxf>
    <dxf>
      <font>
        <color theme="6"/>
      </font>
    </dxf>
    <dxf>
      <font>
        <color theme="6"/>
      </font>
    </dxf>
    <dxf>
      <font>
        <color theme="9"/>
      </font>
    </dxf>
    <dxf>
      <font>
        <color theme="1" tint="0.499984740745262"/>
      </font>
    </dxf>
    <dxf>
      <font>
        <color theme="6"/>
      </font>
    </dxf>
  </dxfs>
  <tableStyles count="0" defaultTableStyle="TableStyleMedium2" defaultPivotStyle="PivotStyleLight16"/>
  <colors>
    <mruColors>
      <color rgb="FFFFCAD4"/>
      <color rgb="FF9D8189"/>
      <color rgb="FFD9CDD0"/>
      <color rgb="FFD8E2DC"/>
      <color rgb="FFF4ACB7"/>
      <color rgb="FFFFE5D9"/>
      <color rgb="FFED6A5A"/>
      <color rgb="FF17375E"/>
      <color rgb="FFF0C6EC"/>
      <color rgb="FFF9D3F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CA des porteurs</a:t>
            </a:r>
            <a:r>
              <a:rPr lang="fr-FR" sz="1200" u="sng" baseline="0"/>
              <a:t> de la Carte</a:t>
            </a:r>
            <a:endParaRPr lang="fr-FR" sz="1200" u="sng"/>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9.8419377450403994E-2"/>
          <c:y val="0.23869166341062473"/>
          <c:w val="0.81035532088086115"/>
          <c:h val="0.54922474955462897"/>
        </c:manualLayout>
      </c:layout>
      <c:barChart>
        <c:barDir val="col"/>
        <c:grouping val="clustered"/>
        <c:varyColors val="0"/>
        <c:ser>
          <c:idx val="1"/>
          <c:order val="2"/>
          <c:tx>
            <c:strRef>
              <c:f>'Données sources'!$D$11</c:f>
              <c:strCache>
                <c:ptCount val="1"/>
                <c:pt idx="0">
                  <c:v>Evol CA porteurs vs A-1</c:v>
                </c:pt>
              </c:strCache>
            </c:strRef>
          </c:tx>
          <c:spPr>
            <a:solidFill>
              <a:srgbClr val="F4ACB7"/>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sources'!$D$24:$D$35</c:f>
              <c:numCache>
                <c:formatCode>\+0%;\-0%</c:formatCode>
                <c:ptCount val="12"/>
                <c:pt idx="0">
                  <c:v>8.8081026296092269E-2</c:v>
                </c:pt>
                <c:pt idx="1">
                  <c:v>0.11876482137483824</c:v>
                </c:pt>
                <c:pt idx="2">
                  <c:v>8.4776622085566133E-2</c:v>
                </c:pt>
                <c:pt idx="3">
                  <c:v>-1.163154070304484E-2</c:v>
                </c:pt>
                <c:pt idx="4">
                  <c:v>6.0947925213973297E-2</c:v>
                </c:pt>
                <c:pt idx="5">
                  <c:v>-4.4950133505361478E-5</c:v>
                </c:pt>
                <c:pt idx="6">
                  <c:v>4.161986644817306E-2</c:v>
                </c:pt>
                <c:pt idx="7">
                  <c:v>8.6708804340118739E-2</c:v>
                </c:pt>
                <c:pt idx="8">
                  <c:v>-2.0486889661329721E-2</c:v>
                </c:pt>
                <c:pt idx="9">
                  <c:v>8.7937167167733588E-2</c:v>
                </c:pt>
                <c:pt idx="10">
                  <c:v>8.6365930133884161E-2</c:v>
                </c:pt>
                <c:pt idx="11">
                  <c:v>-4.4616288744876442E-3</c:v>
                </c:pt>
              </c:numCache>
            </c:numRef>
          </c:val>
          <c:extLst>
            <c:ext xmlns:c16="http://schemas.microsoft.com/office/drawing/2014/chart" uri="{C3380CC4-5D6E-409C-BE32-E72D297353CC}">
              <c16:uniqueId val="{00000003-171F-480B-85F3-A822F04668E0}"/>
            </c:ext>
          </c:extLst>
        </c:ser>
        <c:dLbls>
          <c:showLegendKey val="0"/>
          <c:showVal val="0"/>
          <c:showCatName val="0"/>
          <c:showSerName val="0"/>
          <c:showPercent val="0"/>
          <c:showBubbleSize val="0"/>
        </c:dLbls>
        <c:gapWidth val="100"/>
        <c:axId val="815874368"/>
        <c:axId val="716024384"/>
      </c:barChart>
      <c:lineChart>
        <c:grouping val="standard"/>
        <c:varyColors val="0"/>
        <c:ser>
          <c:idx val="2"/>
          <c:order val="0"/>
          <c:tx>
            <c:v>CA porteurs A-1</c:v>
          </c:tx>
          <c:spPr>
            <a:ln w="12700" cap="rnd">
              <a:solidFill>
                <a:srgbClr val="D8E2DC"/>
              </a:solidFill>
              <a:prstDash val="sysDash"/>
              <a:round/>
            </a:ln>
            <a:effectLst/>
          </c:spPr>
          <c:marker>
            <c:symbol val="none"/>
          </c:marker>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sources'!$C$12:$C$23</c:f>
              <c:numCache>
                <c:formatCode>#,##0\ "€"</c:formatCode>
                <c:ptCount val="12"/>
                <c:pt idx="0">
                  <c:v>246549225.81761274</c:v>
                </c:pt>
                <c:pt idx="1">
                  <c:v>231077650.72045037</c:v>
                </c:pt>
                <c:pt idx="2">
                  <c:v>265540379.53108105</c:v>
                </c:pt>
                <c:pt idx="3">
                  <c:v>275162577.75855827</c:v>
                </c:pt>
                <c:pt idx="4">
                  <c:v>268454132.63301808</c:v>
                </c:pt>
                <c:pt idx="5">
                  <c:v>277874000.55675656</c:v>
                </c:pt>
                <c:pt idx="6">
                  <c:v>275727600.6523425</c:v>
                </c:pt>
                <c:pt idx="7">
                  <c:v>276044848.79891914</c:v>
                </c:pt>
                <c:pt idx="8">
                  <c:v>268352112.8416214</c:v>
                </c:pt>
                <c:pt idx="9">
                  <c:v>264901240.24126118</c:v>
                </c:pt>
                <c:pt idx="10">
                  <c:v>271479263.86815351</c:v>
                </c:pt>
                <c:pt idx="11">
                  <c:v>340380035.15648651</c:v>
                </c:pt>
              </c:numCache>
            </c:numRef>
          </c:val>
          <c:smooth val="0"/>
          <c:extLst>
            <c:ext xmlns:c16="http://schemas.microsoft.com/office/drawing/2014/chart" uri="{C3380CC4-5D6E-409C-BE32-E72D297353CC}">
              <c16:uniqueId val="{00000004-171F-480B-85F3-A822F04668E0}"/>
            </c:ext>
          </c:extLst>
        </c:ser>
        <c:ser>
          <c:idx val="0"/>
          <c:order val="1"/>
          <c:tx>
            <c:strRef>
              <c:f>'Données sources'!$C$11</c:f>
              <c:strCache>
                <c:ptCount val="1"/>
                <c:pt idx="0">
                  <c:v>CA porteurs</c:v>
                </c:pt>
              </c:strCache>
            </c:strRef>
          </c:tx>
          <c:spPr>
            <a:ln w="19050" cap="rnd">
              <a:solidFill>
                <a:srgbClr val="9D8189"/>
              </a:solidFill>
              <a:round/>
            </a:ln>
            <a:effectLst/>
          </c:spPr>
          <c:marker>
            <c:symbol val="none"/>
          </c:marker>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tx1">
                        <a:lumMod val="75000"/>
                        <a:lumOff val="25000"/>
                      </a:schemeClr>
                    </a:solidFill>
                    <a:latin typeface="+mn-lt"/>
                    <a:ea typeface="+mn-ea"/>
                    <a:cs typeface="+mn-cs"/>
                  </a:defRPr>
                </a:pPr>
                <a:endParaRPr lang="fr-FR"/>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sources'!$C$24:$C$35</c:f>
              <c:numCache>
                <c:formatCode>#,##0\ "€"</c:formatCode>
                <c:ptCount val="12"/>
                <c:pt idx="0">
                  <c:v>268265534.66013506</c:v>
                </c:pt>
                <c:pt idx="1">
                  <c:v>258521546.63198191</c:v>
                </c:pt>
                <c:pt idx="2">
                  <c:v>288051995.9350453</c:v>
                </c:pt>
                <c:pt idx="3">
                  <c:v>271962013.03540486</c:v>
                </c:pt>
                <c:pt idx="4">
                  <c:v>284815855.03211731</c:v>
                </c:pt>
                <c:pt idx="5">
                  <c:v>277861510.08333385</c:v>
                </c:pt>
                <c:pt idx="6">
                  <c:v>287203346.56756818</c:v>
                </c:pt>
                <c:pt idx="7">
                  <c:v>299980367.58252227</c:v>
                </c:pt>
                <c:pt idx="8">
                  <c:v>262854412.71545041</c:v>
                </c:pt>
                <c:pt idx="9">
                  <c:v>288195904.88729692</c:v>
                </c:pt>
                <c:pt idx="10">
                  <c:v>294925823.00418878</c:v>
                </c:pt>
                <c:pt idx="11">
                  <c:v>338861385.7633332</c:v>
                </c:pt>
              </c:numCache>
            </c:numRef>
          </c:val>
          <c:smooth val="0"/>
          <c:extLst>
            <c:ext xmlns:c16="http://schemas.microsoft.com/office/drawing/2014/chart" uri="{C3380CC4-5D6E-409C-BE32-E72D297353CC}">
              <c16:uniqueId val="{00000002-171F-480B-85F3-A822F04668E0}"/>
            </c:ext>
          </c:extLst>
        </c:ser>
        <c:dLbls>
          <c:showLegendKey val="0"/>
          <c:showVal val="0"/>
          <c:showCatName val="0"/>
          <c:showSerName val="0"/>
          <c:showPercent val="0"/>
          <c:showBubbleSize val="0"/>
        </c:dLbls>
        <c:marker val="1"/>
        <c:smooth val="0"/>
        <c:axId val="633653432"/>
        <c:axId val="633651792"/>
      </c:lineChart>
      <c:catAx>
        <c:axId val="633653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scaling>
        <c:delete val="0"/>
        <c:axPos val="l"/>
        <c:majorGridlines>
          <c:spPr>
            <a:ln w="9525" cap="flat" cmpd="sng" algn="ctr">
              <a:solidFill>
                <a:schemeClr val="tx1">
                  <a:lumMod val="15000"/>
                  <a:lumOff val="85000"/>
                </a:schemeClr>
              </a:solidFill>
              <a:round/>
            </a:ln>
            <a:effectLst/>
          </c:spPr>
        </c:majorGridlines>
        <c:numFmt formatCode="#,##0,,&quot; M€&quot;" sourceLinked="0"/>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633653432"/>
        <c:crosses val="autoZero"/>
        <c:crossBetween val="between"/>
      </c:valAx>
      <c:valAx>
        <c:axId val="716024384"/>
        <c:scaling>
          <c:orientation val="minMax"/>
          <c:max val="1.2249999999999999"/>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815874368"/>
        <c:crosses val="max"/>
        <c:crossBetween val="between"/>
      </c:valAx>
      <c:catAx>
        <c:axId val="815874368"/>
        <c:scaling>
          <c:orientation val="minMax"/>
        </c:scaling>
        <c:delete val="1"/>
        <c:axPos val="b"/>
        <c:numFmt formatCode="General" sourceLinked="1"/>
        <c:majorTickMark val="out"/>
        <c:minorTickMark val="none"/>
        <c:tickLblPos val="nextTo"/>
        <c:crossAx val="716024384"/>
        <c:crosses val="autoZero"/>
        <c:auto val="1"/>
        <c:lblAlgn val="ctr"/>
        <c:lblOffset val="100"/>
        <c:noMultiLvlLbl val="0"/>
      </c:catAx>
      <c:spPr>
        <a:noFill/>
        <a:ln>
          <a:noFill/>
        </a:ln>
        <a:effectLst/>
      </c:spPr>
    </c:plotArea>
    <c:legend>
      <c:legendPos val="t"/>
      <c:layout>
        <c:manualLayout>
          <c:xMode val="edge"/>
          <c:yMode val="edge"/>
          <c:x val="4.9999974767367748E-2"/>
          <c:y val="0.13880112607209705"/>
          <c:w val="0.89999979813894193"/>
          <c:h val="7.8245137561202577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Taux</a:t>
            </a:r>
            <a:r>
              <a:rPr lang="fr-FR" sz="1200" u="sng" baseline="0"/>
              <a:t> de CA des porteurs de la Carte</a:t>
            </a:r>
            <a:endParaRPr lang="fr-FR" sz="1200" u="sng"/>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7.2057173172790451E-2"/>
          <c:y val="0.24106985178516818"/>
          <c:w val="0.84549643932026186"/>
          <c:h val="0.54453638176625918"/>
        </c:manualLayout>
      </c:layout>
      <c:barChart>
        <c:barDir val="col"/>
        <c:grouping val="clustered"/>
        <c:varyColors val="0"/>
        <c:ser>
          <c:idx val="1"/>
          <c:order val="2"/>
          <c:tx>
            <c:strRef>
              <c:f>'Données sources'!$J$11</c:f>
              <c:strCache>
                <c:ptCount val="1"/>
                <c:pt idx="0">
                  <c:v>Ecart Taux CA porteurs vs A-1</c:v>
                </c:pt>
              </c:strCache>
            </c:strRef>
          </c:tx>
          <c:spPr>
            <a:solidFill>
              <a:srgbClr val="F4ACB7"/>
            </a:solidFill>
            <a:ln>
              <a:noFill/>
            </a:ln>
            <a:effectLst/>
          </c:spPr>
          <c:invertIfNegative val="0"/>
          <c:dLbls>
            <c:numFmt formatCode="\+0.0\ &quot;pt&quot;;\-0.0\ &quot;pt&quot;" sourceLinked="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sources'!$J$24:$J$35</c:f>
              <c:numCache>
                <c:formatCode>\+0.0;\-0.0</c:formatCode>
                <c:ptCount val="12"/>
                <c:pt idx="0">
                  <c:v>1.4249235521476722</c:v>
                </c:pt>
                <c:pt idx="1">
                  <c:v>1.7348943950324935</c:v>
                </c:pt>
                <c:pt idx="2">
                  <c:v>0.7440122480322664</c:v>
                </c:pt>
                <c:pt idx="3">
                  <c:v>0.60808158674626744</c:v>
                </c:pt>
                <c:pt idx="4">
                  <c:v>0.85584438907587712</c:v>
                </c:pt>
                <c:pt idx="5">
                  <c:v>0.96894578379226326</c:v>
                </c:pt>
                <c:pt idx="6">
                  <c:v>1.0495888398828757</c:v>
                </c:pt>
                <c:pt idx="7">
                  <c:v>1.250396030795542</c:v>
                </c:pt>
                <c:pt idx="8">
                  <c:v>0.83275028418827723</c:v>
                </c:pt>
                <c:pt idx="9">
                  <c:v>1.6207392741455884</c:v>
                </c:pt>
                <c:pt idx="10">
                  <c:v>1.0807052741898748</c:v>
                </c:pt>
                <c:pt idx="11">
                  <c:v>1.6948326165855399E-2</c:v>
                </c:pt>
              </c:numCache>
            </c:numRef>
          </c:val>
          <c:extLst>
            <c:ext xmlns:c16="http://schemas.microsoft.com/office/drawing/2014/chart" uri="{C3380CC4-5D6E-409C-BE32-E72D297353CC}">
              <c16:uniqueId val="{00000000-814E-41CD-B615-CDC56C11340F}"/>
            </c:ext>
          </c:extLst>
        </c:ser>
        <c:dLbls>
          <c:showLegendKey val="0"/>
          <c:showVal val="0"/>
          <c:showCatName val="0"/>
          <c:showSerName val="0"/>
          <c:showPercent val="0"/>
          <c:showBubbleSize val="0"/>
        </c:dLbls>
        <c:gapWidth val="100"/>
        <c:axId val="815874368"/>
        <c:axId val="716024384"/>
      </c:barChart>
      <c:lineChart>
        <c:grouping val="standard"/>
        <c:varyColors val="0"/>
        <c:ser>
          <c:idx val="2"/>
          <c:order val="0"/>
          <c:tx>
            <c:v>Taux CA porteurs A-1</c:v>
          </c:tx>
          <c:spPr>
            <a:ln w="12700" cap="rnd">
              <a:solidFill>
                <a:srgbClr val="D8E2DC"/>
              </a:solidFill>
              <a:prstDash val="sysDash"/>
              <a:round/>
            </a:ln>
            <a:effectLst/>
          </c:spPr>
          <c:marker>
            <c:symbol val="none"/>
          </c:marker>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sources'!$I$12:$I$23</c:f>
              <c:numCache>
                <c:formatCode>0.0%</c:formatCode>
                <c:ptCount val="12"/>
                <c:pt idx="0">
                  <c:v>0.78821241225139849</c:v>
                </c:pt>
                <c:pt idx="1">
                  <c:v>0.77897795349759891</c:v>
                </c:pt>
                <c:pt idx="2">
                  <c:v>0.79032490083336082</c:v>
                </c:pt>
                <c:pt idx="3">
                  <c:v>0.78030663930068833</c:v>
                </c:pt>
                <c:pt idx="4">
                  <c:v>0.77103069361498511</c:v>
                </c:pt>
                <c:pt idx="5">
                  <c:v>0.76317205770179852</c:v>
                </c:pt>
                <c:pt idx="6">
                  <c:v>0.71480754911870326</c:v>
                </c:pt>
                <c:pt idx="7">
                  <c:v>0.70684078574140152</c:v>
                </c:pt>
                <c:pt idx="8">
                  <c:v>0.76436658851942363</c:v>
                </c:pt>
                <c:pt idx="9">
                  <c:v>0.77530181525774911</c:v>
                </c:pt>
                <c:pt idx="10">
                  <c:v>0.80299492223153557</c:v>
                </c:pt>
                <c:pt idx="11">
                  <c:v>0.8015599277929164</c:v>
                </c:pt>
              </c:numCache>
            </c:numRef>
          </c:val>
          <c:smooth val="0"/>
          <c:extLst>
            <c:ext xmlns:c16="http://schemas.microsoft.com/office/drawing/2014/chart" uri="{C3380CC4-5D6E-409C-BE32-E72D297353CC}">
              <c16:uniqueId val="{00000004-814E-41CD-B615-CDC56C11340F}"/>
            </c:ext>
          </c:extLst>
        </c:ser>
        <c:ser>
          <c:idx val="0"/>
          <c:order val="1"/>
          <c:tx>
            <c:strRef>
              <c:f>'Données sources'!$I$11</c:f>
              <c:strCache>
                <c:ptCount val="1"/>
                <c:pt idx="0">
                  <c:v>Taux CA porteurs</c:v>
                </c:pt>
              </c:strCache>
            </c:strRef>
          </c:tx>
          <c:spPr>
            <a:ln w="19050" cap="rnd">
              <a:solidFill>
                <a:srgbClr val="9D8189"/>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tx1">
                        <a:lumMod val="75000"/>
                        <a:lumOff val="25000"/>
                      </a:schemeClr>
                    </a:solidFill>
                    <a:latin typeface="+mn-lt"/>
                    <a:ea typeface="+mn-ea"/>
                    <a:cs typeface="+mn-cs"/>
                  </a:defRPr>
                </a:pPr>
                <a:endParaRPr lang="fr-FR"/>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sources'!$I$24:$I$35</c:f>
              <c:numCache>
                <c:formatCode>0.0%</c:formatCode>
                <c:ptCount val="12"/>
                <c:pt idx="0">
                  <c:v>0.80246164777287521</c:v>
                </c:pt>
                <c:pt idx="1">
                  <c:v>0.79632689744792384</c:v>
                </c:pt>
                <c:pt idx="2">
                  <c:v>0.79776502331368349</c:v>
                </c:pt>
                <c:pt idx="3">
                  <c:v>0.78638745516815101</c:v>
                </c:pt>
                <c:pt idx="4">
                  <c:v>0.77958913750574388</c:v>
                </c:pt>
                <c:pt idx="5">
                  <c:v>0.77286151553972116</c:v>
                </c:pt>
                <c:pt idx="6">
                  <c:v>0.72530343751753201</c:v>
                </c:pt>
                <c:pt idx="7">
                  <c:v>0.71934474604935694</c:v>
                </c:pt>
                <c:pt idx="8">
                  <c:v>0.7726940913613064</c:v>
                </c:pt>
                <c:pt idx="9">
                  <c:v>0.79150920799920499</c:v>
                </c:pt>
                <c:pt idx="10">
                  <c:v>0.81380197497343432</c:v>
                </c:pt>
                <c:pt idx="11">
                  <c:v>0.80172941105457496</c:v>
                </c:pt>
              </c:numCache>
            </c:numRef>
          </c:val>
          <c:smooth val="0"/>
          <c:extLst>
            <c:ext xmlns:c16="http://schemas.microsoft.com/office/drawing/2014/chart" uri="{C3380CC4-5D6E-409C-BE32-E72D297353CC}">
              <c16:uniqueId val="{00000001-814E-41CD-B615-CDC56C11340F}"/>
            </c:ext>
          </c:extLst>
        </c:ser>
        <c:dLbls>
          <c:showLegendKey val="0"/>
          <c:showVal val="0"/>
          <c:showCatName val="0"/>
          <c:showSerName val="0"/>
          <c:showPercent val="0"/>
          <c:showBubbleSize val="0"/>
        </c:dLbls>
        <c:marker val="1"/>
        <c:smooth val="0"/>
        <c:axId val="633653432"/>
        <c:axId val="633651792"/>
      </c:lineChart>
      <c:catAx>
        <c:axId val="633653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max val="0.9"/>
          <c:min val="0.60000000000000009"/>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633653432"/>
        <c:crosses val="autoZero"/>
        <c:crossBetween val="between"/>
      </c:valAx>
      <c:valAx>
        <c:axId val="716024384"/>
        <c:scaling>
          <c:orientation val="minMax"/>
          <c:max val="10"/>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815874368"/>
        <c:crosses val="max"/>
        <c:crossBetween val="between"/>
      </c:valAx>
      <c:catAx>
        <c:axId val="815874368"/>
        <c:scaling>
          <c:orientation val="minMax"/>
        </c:scaling>
        <c:delete val="1"/>
        <c:axPos val="b"/>
        <c:numFmt formatCode="General" sourceLinked="1"/>
        <c:majorTickMark val="out"/>
        <c:minorTickMark val="none"/>
        <c:tickLblPos val="nextTo"/>
        <c:crossAx val="716024384"/>
        <c:crosses val="autoZero"/>
        <c:auto val="1"/>
        <c:lblAlgn val="ctr"/>
        <c:lblOffset val="100"/>
        <c:noMultiLvlLbl val="0"/>
      </c:catAx>
      <c:spPr>
        <a:noFill/>
        <a:ln>
          <a:noFill/>
        </a:ln>
        <a:effectLst/>
      </c:spPr>
    </c:plotArea>
    <c:legend>
      <c:legendPos val="t"/>
      <c:layout>
        <c:manualLayout>
          <c:xMode val="edge"/>
          <c:yMode val="edge"/>
          <c:x val="1.0748038604332898E-2"/>
          <c:y val="0.14222765901543313"/>
          <c:w val="0.97529245821682287"/>
          <c:h val="7.3405322984282595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Montant de la générosité</a:t>
            </a:r>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9.8419377450403994E-2"/>
          <c:y val="0.23869166341062473"/>
          <c:w val="0.81035532088086115"/>
          <c:h val="0.54922474955462897"/>
        </c:manualLayout>
      </c:layout>
      <c:barChart>
        <c:barDir val="col"/>
        <c:grouping val="clustered"/>
        <c:varyColors val="0"/>
        <c:ser>
          <c:idx val="1"/>
          <c:order val="2"/>
          <c:tx>
            <c:strRef>
              <c:f>'Données sources'!$R$11</c:f>
              <c:strCache>
                <c:ptCount val="1"/>
                <c:pt idx="0">
                  <c:v>Evol Montant cagnotté vs A-1</c:v>
                </c:pt>
              </c:strCache>
            </c:strRef>
          </c:tx>
          <c:spPr>
            <a:solidFill>
              <a:srgbClr val="F4ACB7"/>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sources'!$R$24:$R$35</c:f>
              <c:numCache>
                <c:formatCode>\+0%;\-0%</c:formatCode>
                <c:ptCount val="12"/>
                <c:pt idx="0">
                  <c:v>0.31497085104378475</c:v>
                </c:pt>
                <c:pt idx="1">
                  <c:v>0.27172642127579572</c:v>
                </c:pt>
                <c:pt idx="2">
                  <c:v>6.4288112587144397E-2</c:v>
                </c:pt>
                <c:pt idx="3">
                  <c:v>0.29649354153581564</c:v>
                </c:pt>
                <c:pt idx="4">
                  <c:v>0.17132191137942598</c:v>
                </c:pt>
                <c:pt idx="5">
                  <c:v>0.29995223026606066</c:v>
                </c:pt>
                <c:pt idx="6">
                  <c:v>0.14194319797160104</c:v>
                </c:pt>
                <c:pt idx="7">
                  <c:v>8.9886992518270814E-2</c:v>
                </c:pt>
                <c:pt idx="8">
                  <c:v>0.14329015524379329</c:v>
                </c:pt>
                <c:pt idx="9">
                  <c:v>9.2348723955964607E-2</c:v>
                </c:pt>
                <c:pt idx="10">
                  <c:v>-0.1211657896213163</c:v>
                </c:pt>
                <c:pt idx="11">
                  <c:v>-0.20053043813263838</c:v>
                </c:pt>
              </c:numCache>
            </c:numRef>
          </c:val>
          <c:extLst>
            <c:ext xmlns:c16="http://schemas.microsoft.com/office/drawing/2014/chart" uri="{C3380CC4-5D6E-409C-BE32-E72D297353CC}">
              <c16:uniqueId val="{00000000-4F48-40C5-B785-ADA3D0483D87}"/>
            </c:ext>
          </c:extLst>
        </c:ser>
        <c:dLbls>
          <c:showLegendKey val="0"/>
          <c:showVal val="0"/>
          <c:showCatName val="0"/>
          <c:showSerName val="0"/>
          <c:showPercent val="0"/>
          <c:showBubbleSize val="0"/>
        </c:dLbls>
        <c:gapWidth val="100"/>
        <c:axId val="815874368"/>
        <c:axId val="716024384"/>
      </c:barChart>
      <c:lineChart>
        <c:grouping val="standard"/>
        <c:varyColors val="0"/>
        <c:ser>
          <c:idx val="2"/>
          <c:order val="0"/>
          <c:tx>
            <c:v>Montant cagnotté A-1</c:v>
          </c:tx>
          <c:spPr>
            <a:ln w="12700" cap="rnd">
              <a:solidFill>
                <a:srgbClr val="D8E2DC"/>
              </a:solidFill>
              <a:prstDash val="sysDash"/>
              <a:round/>
            </a:ln>
            <a:effectLst/>
          </c:spPr>
          <c:marker>
            <c:symbol val="none"/>
          </c:marker>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sources'!$Q$12:$Q$23</c:f>
              <c:numCache>
                <c:formatCode>#,##0\ "€"</c:formatCode>
                <c:ptCount val="12"/>
                <c:pt idx="0">
                  <c:v>8587065.8514864761</c:v>
                </c:pt>
                <c:pt idx="1">
                  <c:v>5586710.7211369341</c:v>
                </c:pt>
                <c:pt idx="2">
                  <c:v>7131727.4052477386</c:v>
                </c:pt>
                <c:pt idx="3">
                  <c:v>5833100.147837841</c:v>
                </c:pt>
                <c:pt idx="4">
                  <c:v>5166951.6314414525</c:v>
                </c:pt>
                <c:pt idx="5">
                  <c:v>6333596.2388738729</c:v>
                </c:pt>
                <c:pt idx="6">
                  <c:v>3714764.2237749952</c:v>
                </c:pt>
                <c:pt idx="7">
                  <c:v>7040744.6611036016</c:v>
                </c:pt>
                <c:pt idx="8">
                  <c:v>7835654.2052076664</c:v>
                </c:pt>
                <c:pt idx="9">
                  <c:v>8069794.1042087758</c:v>
                </c:pt>
                <c:pt idx="10">
                  <c:v>16630839.238588983</c:v>
                </c:pt>
                <c:pt idx="11">
                  <c:v>12643286.498828819</c:v>
                </c:pt>
              </c:numCache>
            </c:numRef>
          </c:val>
          <c:smooth val="0"/>
          <c:extLst>
            <c:ext xmlns:c16="http://schemas.microsoft.com/office/drawing/2014/chart" uri="{C3380CC4-5D6E-409C-BE32-E72D297353CC}">
              <c16:uniqueId val="{00000001-4F48-40C5-B785-ADA3D0483D87}"/>
            </c:ext>
          </c:extLst>
        </c:ser>
        <c:ser>
          <c:idx val="0"/>
          <c:order val="1"/>
          <c:tx>
            <c:strRef>
              <c:f>'Données sources'!$Q$11</c:f>
              <c:strCache>
                <c:ptCount val="1"/>
                <c:pt idx="0">
                  <c:v>Montant cagnotté</c:v>
                </c:pt>
              </c:strCache>
            </c:strRef>
          </c:tx>
          <c:spPr>
            <a:ln w="19050" cap="rnd">
              <a:solidFill>
                <a:srgbClr val="9D8189"/>
              </a:solidFill>
              <a:round/>
            </a:ln>
            <a:effectLst/>
          </c:spPr>
          <c:marker>
            <c:symbol val="none"/>
          </c:marker>
          <c:dLbls>
            <c:numFmt formatCode="#,##0.0,,&quot;M€&quot;" sourceLinked="0"/>
            <c:spPr>
              <a:no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tx1">
                        <a:lumMod val="75000"/>
                        <a:lumOff val="25000"/>
                      </a:schemeClr>
                    </a:solidFill>
                    <a:latin typeface="+mn-lt"/>
                    <a:ea typeface="+mn-ea"/>
                    <a:cs typeface="+mn-cs"/>
                  </a:defRPr>
                </a:pPr>
                <a:endParaRPr lang="fr-FR"/>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sources'!$Q$24:$Q$35</c:f>
              <c:numCache>
                <c:formatCode>#,##0\ "€"</c:formatCode>
                <c:ptCount val="12"/>
                <c:pt idx="0">
                  <c:v>11291741.290698193</c:v>
                </c:pt>
                <c:pt idx="1">
                  <c:v>7104767.6320945937</c:v>
                </c:pt>
                <c:pt idx="2">
                  <c:v>7590212.6996171279</c:v>
                </c:pt>
                <c:pt idx="3">
                  <c:v>7562576.6688033724</c:v>
                </c:pt>
                <c:pt idx="4">
                  <c:v>6052163.6609450458</c:v>
                </c:pt>
                <c:pt idx="5">
                  <c:v>8233372.5563288247</c:v>
                </c:pt>
                <c:pt idx="6">
                  <c:v>4242049.7374081099</c:v>
                </c:pt>
                <c:pt idx="7">
                  <c:v>7673616.0237792768</c:v>
                </c:pt>
                <c:pt idx="8">
                  <c:v>8958426.3127085548</c:v>
                </c:pt>
                <c:pt idx="9">
                  <c:v>8815029.2923198231</c:v>
                </c:pt>
                <c:pt idx="10">
                  <c:v>14615750.470180178</c:v>
                </c:pt>
                <c:pt idx="11">
                  <c:v>10107922.717782205</c:v>
                </c:pt>
              </c:numCache>
            </c:numRef>
          </c:val>
          <c:smooth val="0"/>
          <c:extLst>
            <c:ext xmlns:c16="http://schemas.microsoft.com/office/drawing/2014/chart" uri="{C3380CC4-5D6E-409C-BE32-E72D297353CC}">
              <c16:uniqueId val="{00000002-4F48-40C5-B785-ADA3D0483D87}"/>
            </c:ext>
          </c:extLst>
        </c:ser>
        <c:dLbls>
          <c:showLegendKey val="0"/>
          <c:showVal val="0"/>
          <c:showCatName val="0"/>
          <c:showSerName val="0"/>
          <c:showPercent val="0"/>
          <c:showBubbleSize val="0"/>
        </c:dLbls>
        <c:marker val="1"/>
        <c:smooth val="0"/>
        <c:axId val="633653432"/>
        <c:axId val="633651792"/>
      </c:lineChart>
      <c:catAx>
        <c:axId val="633653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max val="16000000"/>
        </c:scaling>
        <c:delete val="0"/>
        <c:axPos val="l"/>
        <c:majorGridlines>
          <c:spPr>
            <a:ln w="9525" cap="flat" cmpd="sng" algn="ctr">
              <a:solidFill>
                <a:schemeClr val="tx1">
                  <a:lumMod val="15000"/>
                  <a:lumOff val="85000"/>
                </a:schemeClr>
              </a:solidFill>
              <a:round/>
            </a:ln>
            <a:effectLst/>
          </c:spPr>
        </c:majorGridlines>
        <c:numFmt formatCode="#,##0,,&quot; M€&quot;" sourceLinked="0"/>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633653432"/>
        <c:crosses val="autoZero"/>
        <c:crossBetween val="between"/>
      </c:valAx>
      <c:valAx>
        <c:axId val="716024384"/>
        <c:scaling>
          <c:orientation val="minMax"/>
          <c:max val="2.1"/>
          <c:min val="-0.30000000000000004"/>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815874368"/>
        <c:crosses val="max"/>
        <c:crossBetween val="between"/>
      </c:valAx>
      <c:catAx>
        <c:axId val="815874368"/>
        <c:scaling>
          <c:orientation val="minMax"/>
        </c:scaling>
        <c:delete val="1"/>
        <c:axPos val="b"/>
        <c:numFmt formatCode="General" sourceLinked="1"/>
        <c:majorTickMark val="out"/>
        <c:minorTickMark val="none"/>
        <c:tickLblPos val="nextTo"/>
        <c:crossAx val="716024384"/>
        <c:crosses val="autoZero"/>
        <c:auto val="1"/>
        <c:lblAlgn val="ctr"/>
        <c:lblOffset val="100"/>
        <c:noMultiLvlLbl val="0"/>
      </c:catAx>
      <c:spPr>
        <a:noFill/>
        <a:ln>
          <a:noFill/>
        </a:ln>
        <a:effectLst/>
      </c:spPr>
    </c:plotArea>
    <c:legend>
      <c:legendPos val="t"/>
      <c:layout>
        <c:manualLayout>
          <c:xMode val="edge"/>
          <c:yMode val="edge"/>
          <c:x val="4.8430596230444219E-3"/>
          <c:y val="0.13880112607209705"/>
          <c:w val="0.99353911617019108"/>
          <c:h val="7.8245137561202577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Taux</a:t>
            </a:r>
            <a:r>
              <a:rPr lang="fr-FR" sz="1200" u="sng" baseline="0"/>
              <a:t> de générosité</a:t>
            </a:r>
            <a:endParaRPr lang="fr-FR" sz="1200" u="sng"/>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7.2057173172790451E-2"/>
          <c:y val="0.24106985178516818"/>
          <c:w val="0.84549643932026186"/>
          <c:h val="0.54453638176625918"/>
        </c:manualLayout>
      </c:layout>
      <c:barChart>
        <c:barDir val="col"/>
        <c:grouping val="clustered"/>
        <c:varyColors val="0"/>
        <c:ser>
          <c:idx val="1"/>
          <c:order val="2"/>
          <c:tx>
            <c:strRef>
              <c:f>'Données sources'!$T$11</c:f>
              <c:strCache>
                <c:ptCount val="1"/>
                <c:pt idx="0">
                  <c:v>Ecart Taux de générosité vs A-1</c:v>
                </c:pt>
              </c:strCache>
            </c:strRef>
          </c:tx>
          <c:spPr>
            <a:solidFill>
              <a:srgbClr val="F4ACB7"/>
            </a:solidFill>
            <a:ln>
              <a:noFill/>
            </a:ln>
            <a:effectLst/>
          </c:spPr>
          <c:invertIfNegative val="0"/>
          <c:dLbls>
            <c:numFmt formatCode="\+0.0\ &quot;pt&quot;;\-0.0\ &quot;pt&quot;" sourceLinked="0"/>
            <c:spPr>
              <a:no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sources'!$T$24:$T$35</c:f>
              <c:numCache>
                <c:formatCode>\+0.0;\-0.0</c:formatCode>
                <c:ptCount val="12"/>
                <c:pt idx="0">
                  <c:v>0.72626469464628785</c:v>
                </c:pt>
                <c:pt idx="1">
                  <c:v>0.33055357327930401</c:v>
                </c:pt>
                <c:pt idx="2">
                  <c:v>-5.0726419793849231E-2</c:v>
                </c:pt>
                <c:pt idx="3">
                  <c:v>0.66087334870773429</c:v>
                </c:pt>
                <c:pt idx="4">
                  <c:v>0.2002336028034582</c:v>
                </c:pt>
                <c:pt idx="5">
                  <c:v>0.68381583792645784</c:v>
                </c:pt>
                <c:pt idx="6">
                  <c:v>0.12976085662200712</c:v>
                </c:pt>
                <c:pt idx="7">
                  <c:v>7.4594253042750691E-3</c:v>
                </c:pt>
                <c:pt idx="8">
                  <c:v>0.4882171379091631</c:v>
                </c:pt>
                <c:pt idx="9">
                  <c:v>1.2352831652473126E-2</c:v>
                </c:pt>
                <c:pt idx="10">
                  <c:v>-1.1702694029975196</c:v>
                </c:pt>
                <c:pt idx="11">
                  <c:v>-0.73155403155506371</c:v>
                </c:pt>
              </c:numCache>
            </c:numRef>
          </c:val>
          <c:extLst>
            <c:ext xmlns:c16="http://schemas.microsoft.com/office/drawing/2014/chart" uri="{C3380CC4-5D6E-409C-BE32-E72D297353CC}">
              <c16:uniqueId val="{00000000-B121-4F33-914D-F55025C73A38}"/>
            </c:ext>
          </c:extLst>
        </c:ser>
        <c:dLbls>
          <c:showLegendKey val="0"/>
          <c:showVal val="0"/>
          <c:showCatName val="0"/>
          <c:showSerName val="0"/>
          <c:showPercent val="0"/>
          <c:showBubbleSize val="0"/>
        </c:dLbls>
        <c:gapWidth val="100"/>
        <c:axId val="815874368"/>
        <c:axId val="716024384"/>
      </c:barChart>
      <c:lineChart>
        <c:grouping val="standard"/>
        <c:varyColors val="0"/>
        <c:ser>
          <c:idx val="2"/>
          <c:order val="0"/>
          <c:tx>
            <c:v>Taux de générosité A-1</c:v>
          </c:tx>
          <c:spPr>
            <a:ln w="12700" cap="rnd">
              <a:solidFill>
                <a:srgbClr val="D8E2DC"/>
              </a:solidFill>
              <a:prstDash val="sysDash"/>
              <a:round/>
            </a:ln>
            <a:effectLst/>
          </c:spPr>
          <c:marker>
            <c:symbol val="none"/>
          </c:marker>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sources'!$S$12:$S$23</c:f>
              <c:numCache>
                <c:formatCode>0.0%</c:formatCode>
                <c:ptCount val="12"/>
                <c:pt idx="0">
                  <c:v>3.482901162236398E-2</c:v>
                </c:pt>
                <c:pt idx="1">
                  <c:v>2.4176767868804155E-2</c:v>
                </c:pt>
                <c:pt idx="2">
                  <c:v>2.6857412111264162E-2</c:v>
                </c:pt>
                <c:pt idx="3">
                  <c:v>2.1198740742122649E-2</c:v>
                </c:pt>
                <c:pt idx="4">
                  <c:v>1.9247055654400276E-2</c:v>
                </c:pt>
                <c:pt idx="5">
                  <c:v>2.2793050901429038E-2</c:v>
                </c:pt>
                <c:pt idx="6">
                  <c:v>1.3472587492098193E-2</c:v>
                </c:pt>
                <c:pt idx="7">
                  <c:v>2.5505799842808621E-2</c:v>
                </c:pt>
                <c:pt idx="8">
                  <c:v>2.9199152271374838E-2</c:v>
                </c:pt>
                <c:pt idx="9">
                  <c:v>3.0463406274954162E-2</c:v>
                </c:pt>
                <c:pt idx="10">
                  <c:v>6.1260071954025587E-2</c:v>
                </c:pt>
                <c:pt idx="11">
                  <c:v>3.7144618347007892E-2</c:v>
                </c:pt>
              </c:numCache>
            </c:numRef>
          </c:val>
          <c:smooth val="0"/>
          <c:extLst>
            <c:ext xmlns:c16="http://schemas.microsoft.com/office/drawing/2014/chart" uri="{C3380CC4-5D6E-409C-BE32-E72D297353CC}">
              <c16:uniqueId val="{00000001-B121-4F33-914D-F55025C73A38}"/>
            </c:ext>
          </c:extLst>
        </c:ser>
        <c:ser>
          <c:idx val="0"/>
          <c:order val="1"/>
          <c:tx>
            <c:strRef>
              <c:f>'Données sources'!$S$11</c:f>
              <c:strCache>
                <c:ptCount val="1"/>
                <c:pt idx="0">
                  <c:v>Taux de générosité</c:v>
                </c:pt>
              </c:strCache>
            </c:strRef>
          </c:tx>
          <c:spPr>
            <a:ln w="19050" cap="rnd">
              <a:solidFill>
                <a:srgbClr val="9D8189"/>
              </a:solidFill>
              <a:round/>
            </a:ln>
            <a:effectLst/>
          </c:spPr>
          <c:marker>
            <c:symbol val="none"/>
          </c:marker>
          <c:dLbls>
            <c:spPr>
              <a:no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tx1">
                        <a:lumMod val="75000"/>
                        <a:lumOff val="25000"/>
                      </a:schemeClr>
                    </a:solidFill>
                    <a:latin typeface="+mn-lt"/>
                    <a:ea typeface="+mn-ea"/>
                    <a:cs typeface="+mn-cs"/>
                  </a:defRPr>
                </a:pPr>
                <a:endParaRPr lang="fr-FR"/>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sources'!$U$12:$U$23</c:f>
              <c:strCache>
                <c:ptCount val="12"/>
                <c:pt idx="0">
                  <c:v>Janvier</c:v>
                </c:pt>
                <c:pt idx="1">
                  <c:v>Février</c:v>
                </c:pt>
                <c:pt idx="2">
                  <c:v>Mars</c:v>
                </c:pt>
                <c:pt idx="3">
                  <c:v>Avril</c:v>
                </c:pt>
                <c:pt idx="4">
                  <c:v>Mai</c:v>
                </c:pt>
                <c:pt idx="5">
                  <c:v>Juin</c:v>
                </c:pt>
                <c:pt idx="6">
                  <c:v>Juillet</c:v>
                </c:pt>
                <c:pt idx="7">
                  <c:v>Août</c:v>
                </c:pt>
                <c:pt idx="8">
                  <c:v>Septembre</c:v>
                </c:pt>
                <c:pt idx="9">
                  <c:v>Octobre</c:v>
                </c:pt>
                <c:pt idx="10">
                  <c:v>Novembre</c:v>
                </c:pt>
                <c:pt idx="11">
                  <c:v>Décembre</c:v>
                </c:pt>
              </c:strCache>
            </c:strRef>
          </c:cat>
          <c:val>
            <c:numRef>
              <c:f>'Données sources'!$S$24:$S$35</c:f>
              <c:numCache>
                <c:formatCode>0.0%</c:formatCode>
                <c:ptCount val="12"/>
                <c:pt idx="0">
                  <c:v>4.2091658568826858E-2</c:v>
                </c:pt>
                <c:pt idx="1">
                  <c:v>2.7482303601597195E-2</c:v>
                </c:pt>
                <c:pt idx="2">
                  <c:v>2.6350147913325669E-2</c:v>
                </c:pt>
                <c:pt idx="3">
                  <c:v>2.7807474229199991E-2</c:v>
                </c:pt>
                <c:pt idx="4">
                  <c:v>2.1249391682434858E-2</c:v>
                </c:pt>
                <c:pt idx="5">
                  <c:v>2.9631209280693616E-2</c:v>
                </c:pt>
                <c:pt idx="6">
                  <c:v>1.4770196058318264E-2</c:v>
                </c:pt>
                <c:pt idx="7">
                  <c:v>2.5580394095851371E-2</c:v>
                </c:pt>
                <c:pt idx="8">
                  <c:v>3.4081323650466469E-2</c:v>
                </c:pt>
                <c:pt idx="9">
                  <c:v>3.0586934591478893E-2</c:v>
                </c:pt>
                <c:pt idx="10">
                  <c:v>4.9557377924050391E-2</c:v>
                </c:pt>
                <c:pt idx="11">
                  <c:v>2.9829078031457255E-2</c:v>
                </c:pt>
              </c:numCache>
            </c:numRef>
          </c:val>
          <c:smooth val="0"/>
          <c:extLst>
            <c:ext xmlns:c16="http://schemas.microsoft.com/office/drawing/2014/chart" uri="{C3380CC4-5D6E-409C-BE32-E72D297353CC}">
              <c16:uniqueId val="{00000002-B121-4F33-914D-F55025C73A38}"/>
            </c:ext>
          </c:extLst>
        </c:ser>
        <c:dLbls>
          <c:showLegendKey val="0"/>
          <c:showVal val="0"/>
          <c:showCatName val="0"/>
          <c:showSerName val="0"/>
          <c:showPercent val="0"/>
          <c:showBubbleSize val="0"/>
        </c:dLbls>
        <c:marker val="1"/>
        <c:smooth val="0"/>
        <c:axId val="633653432"/>
        <c:axId val="633651792"/>
      </c:lineChart>
      <c:catAx>
        <c:axId val="633653432"/>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max val="6.5000000000000016E-2"/>
          <c:min val="0"/>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633653432"/>
        <c:crosses val="autoZero"/>
        <c:crossBetween val="between"/>
      </c:valAx>
      <c:valAx>
        <c:axId val="716024384"/>
        <c:scaling>
          <c:orientation val="minMax"/>
          <c:max val="11"/>
          <c:min val="-2"/>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fr-FR"/>
          </a:p>
        </c:txPr>
        <c:crossAx val="815874368"/>
        <c:crosses val="max"/>
        <c:crossBetween val="between"/>
      </c:valAx>
      <c:catAx>
        <c:axId val="815874368"/>
        <c:scaling>
          <c:orientation val="minMax"/>
        </c:scaling>
        <c:delete val="1"/>
        <c:axPos val="b"/>
        <c:numFmt formatCode="General" sourceLinked="1"/>
        <c:majorTickMark val="out"/>
        <c:minorTickMark val="none"/>
        <c:tickLblPos val="nextTo"/>
        <c:crossAx val="716024384"/>
        <c:crosses val="autoZero"/>
        <c:auto val="1"/>
        <c:lblAlgn val="ctr"/>
        <c:lblOffset val="100"/>
        <c:noMultiLvlLbl val="0"/>
      </c:catAx>
      <c:spPr>
        <a:noFill/>
        <a:ln>
          <a:noFill/>
        </a:ln>
        <a:effectLst/>
      </c:spPr>
    </c:plotArea>
    <c:legend>
      <c:legendPos val="t"/>
      <c:layout>
        <c:manualLayout>
          <c:xMode val="edge"/>
          <c:yMode val="edge"/>
          <c:x val="1.0674113052603225E-3"/>
          <c:y val="0.14222765901543313"/>
          <c:w val="0.98497315591421064"/>
          <c:h val="7.3405322984282595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r>
              <a:rPr lang="fr-FR" sz="1200" u="sng"/>
              <a:t>Générosité par avantage</a:t>
            </a:r>
          </a:p>
        </c:rich>
      </c:tx>
      <c:overlay val="0"/>
      <c:spPr>
        <a:noFill/>
        <a:ln>
          <a:noFill/>
        </a:ln>
        <a:effectLst/>
      </c:spPr>
      <c:txPr>
        <a:bodyPr rot="0" spcFirstLastPara="1" vertOverflow="ellipsis" vert="horz" wrap="square" anchor="ctr" anchorCtr="1"/>
        <a:lstStyle/>
        <a:p>
          <a:pPr>
            <a:defRPr sz="1200" b="0" i="0" u="sng" strike="noStrike" kern="1200" spc="0" baseline="0">
              <a:solidFill>
                <a:schemeClr val="tx1">
                  <a:lumMod val="65000"/>
                  <a:lumOff val="35000"/>
                </a:schemeClr>
              </a:solidFill>
              <a:latin typeface="+mn-lt"/>
              <a:ea typeface="+mn-ea"/>
              <a:cs typeface="+mn-cs"/>
            </a:defRPr>
          </a:pPr>
          <a:endParaRPr lang="fr-FR"/>
        </a:p>
      </c:txPr>
    </c:title>
    <c:autoTitleDeleted val="0"/>
    <c:plotArea>
      <c:layout>
        <c:manualLayout>
          <c:layoutTarget val="inner"/>
          <c:xMode val="edge"/>
          <c:yMode val="edge"/>
          <c:x val="7.8586353564567502E-2"/>
          <c:y val="0.41253376747948922"/>
          <c:w val="0.84549643932026186"/>
          <c:h val="0.45298105016110274"/>
        </c:manualLayout>
      </c:layout>
      <c:barChart>
        <c:barDir val="col"/>
        <c:grouping val="clustered"/>
        <c:varyColors val="0"/>
        <c:ser>
          <c:idx val="1"/>
          <c:order val="1"/>
          <c:tx>
            <c:strRef>
              <c:f>'Données sources'!$D$58</c:f>
              <c:strCache>
                <c:ptCount val="1"/>
                <c:pt idx="0">
                  <c:v>Montant cagnotté A-1</c:v>
                </c:pt>
              </c:strCache>
            </c:strRef>
          </c:tx>
          <c:spPr>
            <a:solidFill>
              <a:srgbClr val="D8E2DC"/>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0">
                <a:spAutoFit/>
              </a:bodyPr>
              <a:lstStyle/>
              <a:p>
                <a:pPr algn="ctr">
                  <a:defRPr lang="en-US" sz="800" b="1" i="0" u="none" strike="noStrike" kern="1200" baseline="0">
                    <a:solidFill>
                      <a:srgbClr val="D8E2DC"/>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sources'!$A$59:$A$63</c:f>
              <c:strCache>
                <c:ptCount val="5"/>
                <c:pt idx="0">
                  <c:v>Sélection Glow</c:v>
                </c:pt>
                <c:pt idx="1">
                  <c:v>Journées Éclat</c:v>
                </c:pt>
                <c:pt idx="2">
                  <c:v>Grands Jeux</c:v>
                </c:pt>
                <c:pt idx="3">
                  <c:v>Offres personnalisées</c:v>
                </c:pt>
                <c:pt idx="4">
                  <c:v>Cadeau d'anniversaire</c:v>
                </c:pt>
              </c:strCache>
            </c:strRef>
          </c:cat>
          <c:val>
            <c:numRef>
              <c:f>'Données sources'!$D$59:$D$63</c:f>
              <c:numCache>
                <c:formatCode>#,##0\ "€"</c:formatCode>
                <c:ptCount val="5"/>
                <c:pt idx="0">
                  <c:v>3919418.8146369341</c:v>
                </c:pt>
                <c:pt idx="1">
                  <c:v>3034388.7597189164</c:v>
                </c:pt>
                <c:pt idx="2">
                  <c:v>2022925.839812611</c:v>
                </c:pt>
                <c:pt idx="3">
                  <c:v>2275791.5697891875</c:v>
                </c:pt>
                <c:pt idx="4">
                  <c:v>1390761.51487117</c:v>
                </c:pt>
              </c:numCache>
            </c:numRef>
          </c:val>
          <c:extLst>
            <c:ext xmlns:c16="http://schemas.microsoft.com/office/drawing/2014/chart" uri="{C3380CC4-5D6E-409C-BE32-E72D297353CC}">
              <c16:uniqueId val="{00000000-F92E-4F76-BC03-F607BA399295}"/>
            </c:ext>
          </c:extLst>
        </c:ser>
        <c:ser>
          <c:idx val="0"/>
          <c:order val="0"/>
          <c:tx>
            <c:strRef>
              <c:f>'Données sources'!$C$58</c:f>
              <c:strCache>
                <c:ptCount val="1"/>
                <c:pt idx="0">
                  <c:v>Montant cagnotté</c:v>
                </c:pt>
              </c:strCache>
            </c:strRef>
          </c:tx>
          <c:spPr>
            <a:solidFill>
              <a:srgbClr val="9D8189"/>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'Données sources'!$A$59:$A$63</c:f>
              <c:strCache>
                <c:ptCount val="5"/>
                <c:pt idx="0">
                  <c:v>Sélection Glow</c:v>
                </c:pt>
                <c:pt idx="1">
                  <c:v>Journées Éclat</c:v>
                </c:pt>
                <c:pt idx="2">
                  <c:v>Grands Jeux</c:v>
                </c:pt>
                <c:pt idx="3">
                  <c:v>Offres personnalisées</c:v>
                </c:pt>
                <c:pt idx="4">
                  <c:v>Cadeau d'anniversaire</c:v>
                </c:pt>
              </c:strCache>
            </c:strRef>
          </c:cat>
          <c:val>
            <c:numRef>
              <c:f>'Données sources'!$C$59:$C$63</c:f>
              <c:numCache>
                <c:formatCode>#,##0\ "€"</c:formatCode>
                <c:ptCount val="5"/>
                <c:pt idx="0">
                  <c:v>2830218.3609790178</c:v>
                </c:pt>
                <c:pt idx="1">
                  <c:v>2729139.1338011953</c:v>
                </c:pt>
                <c:pt idx="2">
                  <c:v>1819426.0892007968</c:v>
                </c:pt>
                <c:pt idx="3">
                  <c:v>1314029.9533116866</c:v>
                </c:pt>
                <c:pt idx="4">
                  <c:v>1415109.1804895089</c:v>
                </c:pt>
              </c:numCache>
            </c:numRef>
          </c:val>
          <c:extLst>
            <c:ext xmlns:c16="http://schemas.microsoft.com/office/drawing/2014/chart" uri="{C3380CC4-5D6E-409C-BE32-E72D297353CC}">
              <c16:uniqueId val="{00000002-F92E-4F76-BC03-F607BA399295}"/>
            </c:ext>
          </c:extLst>
        </c:ser>
        <c:dLbls>
          <c:showLegendKey val="0"/>
          <c:showVal val="0"/>
          <c:showCatName val="0"/>
          <c:showSerName val="0"/>
          <c:showPercent val="0"/>
          <c:showBubbleSize val="0"/>
        </c:dLbls>
        <c:gapWidth val="65"/>
        <c:axId val="633653432"/>
        <c:axId val="633651792"/>
      </c:barChart>
      <c:catAx>
        <c:axId val="633653432"/>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fr-FR"/>
          </a:p>
        </c:txPr>
        <c:crossAx val="633651792"/>
        <c:crosses val="autoZero"/>
        <c:auto val="1"/>
        <c:lblAlgn val="ctr"/>
        <c:lblOffset val="100"/>
        <c:noMultiLvlLbl val="0"/>
      </c:catAx>
      <c:valAx>
        <c:axId val="63365179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300" b="0" i="0" u="none" strike="noStrike" kern="1200" baseline="0">
                <a:solidFill>
                  <a:schemeClr val="bg1"/>
                </a:solidFill>
                <a:latin typeface="+mn-lt"/>
                <a:ea typeface="+mn-ea"/>
                <a:cs typeface="+mn-cs"/>
              </a:defRPr>
            </a:pPr>
            <a:endParaRPr lang="fr-FR"/>
          </a:p>
        </c:txPr>
        <c:crossAx val="633653432"/>
        <c:crosses val="autoZero"/>
        <c:crossBetween val="between"/>
      </c:valAx>
      <c:spPr>
        <a:noFill/>
        <a:ln>
          <a:noFill/>
        </a:ln>
        <a:effectLst/>
      </c:spPr>
    </c:plotArea>
    <c:legend>
      <c:legendPos val="t"/>
      <c:layout>
        <c:manualLayout>
          <c:xMode val="edge"/>
          <c:yMode val="edge"/>
          <c:x val="0.32139098329944388"/>
          <c:y val="0.13714132378532196"/>
          <c:w val="0.34988488409857699"/>
          <c:h val="7.0149589554134584E-2"/>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D8E2DC"/>
      </a:solidFill>
      <a:round/>
    </a:ln>
    <a:effectLst>
      <a:outerShdw blurRad="50800" dist="38100" dir="2700000" algn="tl" rotWithShape="0">
        <a:prstClr val="black">
          <a:alpha val="40000"/>
        </a:prstClr>
      </a:outerShdw>
    </a:effectLst>
  </c:spPr>
  <c:txPr>
    <a:bodyPr/>
    <a:lstStyle/>
    <a:p>
      <a:pPr>
        <a:defRPr/>
      </a:pPr>
      <a:endParaRPr lang="fr-F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Donn&#233;es sources'!A1"/><Relationship Id="rId13" Type="http://schemas.openxmlformats.org/officeDocument/2006/relationships/image" Target="../media/image9.png"/><Relationship Id="rId18" Type="http://schemas.openxmlformats.org/officeDocument/2006/relationships/image" Target="../media/image11.png"/><Relationship Id="rId3" Type="http://schemas.openxmlformats.org/officeDocument/2006/relationships/image" Target="../media/image3.png"/><Relationship Id="rId7" Type="http://schemas.openxmlformats.org/officeDocument/2006/relationships/image" Target="../media/image4.png"/><Relationship Id="rId12" Type="http://schemas.openxmlformats.org/officeDocument/2006/relationships/image" Target="../media/image8.png"/><Relationship Id="rId17" Type="http://schemas.openxmlformats.org/officeDocument/2006/relationships/chart" Target="../charts/chart5.xml"/><Relationship Id="rId2" Type="http://schemas.openxmlformats.org/officeDocument/2006/relationships/image" Target="../media/image2.png"/><Relationship Id="rId16" Type="http://schemas.openxmlformats.org/officeDocument/2006/relationships/chart" Target="../charts/chart4.xml"/><Relationship Id="rId1" Type="http://schemas.openxmlformats.org/officeDocument/2006/relationships/image" Target="../media/image1.png"/><Relationship Id="rId6" Type="http://schemas.openxmlformats.org/officeDocument/2006/relationships/hyperlink" Target="#Lexique!A1"/><Relationship Id="rId11" Type="http://schemas.openxmlformats.org/officeDocument/2006/relationships/image" Target="../media/image7.png"/><Relationship Id="rId5" Type="http://schemas.openxmlformats.org/officeDocument/2006/relationships/chart" Target="../charts/chart2.xml"/><Relationship Id="rId15" Type="http://schemas.openxmlformats.org/officeDocument/2006/relationships/chart" Target="../charts/chart3.xml"/><Relationship Id="rId10" Type="http://schemas.openxmlformats.org/officeDocument/2006/relationships/image" Target="../media/image6.png"/><Relationship Id="rId4" Type="http://schemas.openxmlformats.org/officeDocument/2006/relationships/chart" Target="../charts/chart1.xml"/><Relationship Id="rId9" Type="http://schemas.openxmlformats.org/officeDocument/2006/relationships/image" Target="../media/image5.png"/><Relationship Id="rId14" Type="http://schemas.openxmlformats.org/officeDocument/2006/relationships/image" Target="../media/image10.png"/></Relationships>
</file>

<file path=xl/drawings/_rels/drawing2.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hyperlink" Target="#'Newsletter Carte Glow'!A1"/></Relationships>
</file>

<file path=xl/drawings/_rels/drawing3.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hyperlink" Target="#'Newsletter Carte Glow'!A1"/></Relationships>
</file>

<file path=xl/drawings/_rels/drawing4.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hyperlink" Target="#'Newsletter Carte Glow'!A1"/></Relationships>
</file>

<file path=xl/drawings/drawing1.xml><?xml version="1.0" encoding="utf-8"?>
<xdr:wsDr xmlns:xdr="http://schemas.openxmlformats.org/drawingml/2006/spreadsheetDrawing" xmlns:a="http://schemas.openxmlformats.org/drawingml/2006/main">
  <xdr:twoCellAnchor editAs="oneCell">
    <xdr:from>
      <xdr:col>0</xdr:col>
      <xdr:colOff>328651</xdr:colOff>
      <xdr:row>1</xdr:row>
      <xdr:rowOff>9299</xdr:rowOff>
    </xdr:from>
    <xdr:to>
      <xdr:col>14</xdr:col>
      <xdr:colOff>9018</xdr:colOff>
      <xdr:row>7</xdr:row>
      <xdr:rowOff>1302</xdr:rowOff>
    </xdr:to>
    <xdr:pic>
      <xdr:nvPicPr>
        <xdr:cNvPr id="2" name="Image 1">
          <a:extLst>
            <a:ext uri="{FF2B5EF4-FFF2-40B4-BE49-F238E27FC236}">
              <a16:creationId xmlns:a16="http://schemas.microsoft.com/office/drawing/2014/main" id="{268C1ACB-5494-4DCF-A5DA-74256F2ACB84}"/>
            </a:ext>
          </a:extLst>
        </xdr:cNvPr>
        <xdr:cNvPicPr>
          <a:picLocks noChangeAspect="1"/>
        </xdr:cNvPicPr>
      </xdr:nvPicPr>
      <xdr:blipFill rotWithShape="1">
        <a:blip xmlns:r="http://schemas.openxmlformats.org/officeDocument/2006/relationships" r:embed="rId1"/>
        <a:srcRect t="3448" b="75738"/>
        <a:stretch/>
      </xdr:blipFill>
      <xdr:spPr>
        <a:xfrm>
          <a:off x="328651" y="194163"/>
          <a:ext cx="8337408" cy="1173328"/>
        </a:xfrm>
        <a:prstGeom prst="rect">
          <a:avLst/>
        </a:prstGeom>
      </xdr:spPr>
    </xdr:pic>
    <xdr:clientData/>
  </xdr:twoCellAnchor>
  <xdr:twoCellAnchor editAs="oneCell">
    <xdr:from>
      <xdr:col>2</xdr:col>
      <xdr:colOff>289560</xdr:colOff>
      <xdr:row>1</xdr:row>
      <xdr:rowOff>38100</xdr:rowOff>
    </xdr:from>
    <xdr:to>
      <xdr:col>3</xdr:col>
      <xdr:colOff>271731</xdr:colOff>
      <xdr:row>6</xdr:row>
      <xdr:rowOff>121920</xdr:rowOff>
    </xdr:to>
    <xdr:pic>
      <xdr:nvPicPr>
        <xdr:cNvPr id="20" name="Image 19">
          <a:extLst>
            <a:ext uri="{FF2B5EF4-FFF2-40B4-BE49-F238E27FC236}">
              <a16:creationId xmlns:a16="http://schemas.microsoft.com/office/drawing/2014/main" id="{8710EEB8-C381-46F6-998A-2A897B11AC3F}"/>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8960" t="17600" r="29280" b="24480"/>
        <a:stretch/>
      </xdr:blipFill>
      <xdr:spPr>
        <a:xfrm>
          <a:off x="760900" y="218780"/>
          <a:ext cx="775594" cy="1065779"/>
        </a:xfrm>
        <a:prstGeom prst="rect">
          <a:avLst/>
        </a:prstGeom>
      </xdr:spPr>
    </xdr:pic>
    <xdr:clientData/>
  </xdr:twoCellAnchor>
  <xdr:twoCellAnchor editAs="oneCell">
    <xdr:from>
      <xdr:col>3</xdr:col>
      <xdr:colOff>563881</xdr:colOff>
      <xdr:row>1</xdr:row>
      <xdr:rowOff>91441</xdr:rowOff>
    </xdr:from>
    <xdr:to>
      <xdr:col>11</xdr:col>
      <xdr:colOff>177886</xdr:colOff>
      <xdr:row>6</xdr:row>
      <xdr:rowOff>83820</xdr:rowOff>
    </xdr:to>
    <xdr:pic>
      <xdr:nvPicPr>
        <xdr:cNvPr id="25" name="Image 24">
          <a:extLst>
            <a:ext uri="{FF2B5EF4-FFF2-40B4-BE49-F238E27FC236}">
              <a16:creationId xmlns:a16="http://schemas.microsoft.com/office/drawing/2014/main" id="{F364ED28-EDC1-4A3E-B8A9-DF2429DFAD2C}"/>
            </a:ext>
          </a:extLst>
        </xdr:cNvPr>
        <xdr:cNvPicPr>
          <a:picLocks noChangeAspect="1"/>
        </xdr:cNvPicPr>
      </xdr:nvPicPr>
      <xdr:blipFill rotWithShape="1">
        <a:blip xmlns:r="http://schemas.openxmlformats.org/officeDocument/2006/relationships" r:embed="rId3" cstate="print">
          <a:alphaModFix amt="85000"/>
          <a:extLst>
            <a:ext uri="{28A0092B-C50C-407E-A947-70E740481C1C}">
              <a14:useLocalDpi xmlns:a14="http://schemas.microsoft.com/office/drawing/2010/main" val="0"/>
            </a:ext>
          </a:extLst>
        </a:blip>
        <a:srcRect b="19841"/>
        <a:stretch/>
      </xdr:blipFill>
      <xdr:spPr>
        <a:xfrm>
          <a:off x="1684021" y="274321"/>
          <a:ext cx="5273039" cy="982979"/>
        </a:xfrm>
        <a:prstGeom prst="rect">
          <a:avLst/>
        </a:prstGeom>
      </xdr:spPr>
    </xdr:pic>
    <xdr:clientData/>
  </xdr:twoCellAnchor>
  <xdr:twoCellAnchor>
    <xdr:from>
      <xdr:col>3</xdr:col>
      <xdr:colOff>739140</xdr:colOff>
      <xdr:row>2</xdr:row>
      <xdr:rowOff>22860</xdr:rowOff>
    </xdr:from>
    <xdr:to>
      <xdr:col>11</xdr:col>
      <xdr:colOff>129540</xdr:colOff>
      <xdr:row>5</xdr:row>
      <xdr:rowOff>91440</xdr:rowOff>
    </xdr:to>
    <xdr:sp macro="" textlink="">
      <xdr:nvSpPr>
        <xdr:cNvPr id="29" name="ZoneTexte 28">
          <a:extLst>
            <a:ext uri="{FF2B5EF4-FFF2-40B4-BE49-F238E27FC236}">
              <a16:creationId xmlns:a16="http://schemas.microsoft.com/office/drawing/2014/main" id="{6CDDD21D-3E28-425E-90CE-3529FC3A9FD8}"/>
            </a:ext>
          </a:extLst>
        </xdr:cNvPr>
        <xdr:cNvSpPr txBox="1"/>
      </xdr:nvSpPr>
      <xdr:spPr>
        <a:xfrm>
          <a:off x="1859280" y="464820"/>
          <a:ext cx="493776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fr-FR" sz="3600" b="1">
              <a:solidFill>
                <a:srgbClr val="9D8189"/>
              </a:solidFill>
              <a:latin typeface="Castellar" panose="020A0402060406010301" pitchFamily="18" charset="0"/>
            </a:rPr>
            <a:t>Le Focus Fidélité</a:t>
          </a:r>
        </a:p>
      </xdr:txBody>
    </xdr:sp>
    <xdr:clientData/>
  </xdr:twoCellAnchor>
  <xdr:twoCellAnchor>
    <xdr:from>
      <xdr:col>2</xdr:col>
      <xdr:colOff>3992</xdr:colOff>
      <xdr:row>20</xdr:row>
      <xdr:rowOff>100762</xdr:rowOff>
    </xdr:from>
    <xdr:to>
      <xdr:col>7</xdr:col>
      <xdr:colOff>0</xdr:colOff>
      <xdr:row>33</xdr:row>
      <xdr:rowOff>98836</xdr:rowOff>
    </xdr:to>
    <xdr:graphicFrame macro="">
      <xdr:nvGraphicFramePr>
        <xdr:cNvPr id="30" name="Graphique 29">
          <a:extLst>
            <a:ext uri="{FF2B5EF4-FFF2-40B4-BE49-F238E27FC236}">
              <a16:creationId xmlns:a16="http://schemas.microsoft.com/office/drawing/2014/main" id="{70AF2D8F-A2BB-4A55-8394-6F943A338B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6298</xdr:colOff>
      <xdr:row>20</xdr:row>
      <xdr:rowOff>101873</xdr:rowOff>
    </xdr:from>
    <xdr:to>
      <xdr:col>13</xdr:col>
      <xdr:colOff>609</xdr:colOff>
      <xdr:row>33</xdr:row>
      <xdr:rowOff>99646</xdr:rowOff>
    </xdr:to>
    <xdr:graphicFrame macro="">
      <xdr:nvGraphicFramePr>
        <xdr:cNvPr id="31" name="Graphique 30">
          <a:extLst>
            <a:ext uri="{FF2B5EF4-FFF2-40B4-BE49-F238E27FC236}">
              <a16:creationId xmlns:a16="http://schemas.microsoft.com/office/drawing/2014/main" id="{C2B641B6-DC1D-42E0-9CB1-972E511BB2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254001</xdr:colOff>
      <xdr:row>13</xdr:row>
      <xdr:rowOff>71640</xdr:rowOff>
    </xdr:from>
    <xdr:to>
      <xdr:col>6</xdr:col>
      <xdr:colOff>560193</xdr:colOff>
      <xdr:row>17</xdr:row>
      <xdr:rowOff>21084</xdr:rowOff>
    </xdr:to>
    <xdr:pic>
      <xdr:nvPicPr>
        <xdr:cNvPr id="43" name="Image 42">
          <a:hlinkClick xmlns:r="http://schemas.openxmlformats.org/officeDocument/2006/relationships" r:id="rId6"/>
          <a:extLst>
            <a:ext uri="{FF2B5EF4-FFF2-40B4-BE49-F238E27FC236}">
              <a16:creationId xmlns:a16="http://schemas.microsoft.com/office/drawing/2014/main" id="{B459E9FA-1358-4E6C-813E-4A2CD7049E3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68770" y="2520461"/>
          <a:ext cx="1895320" cy="678879"/>
        </a:xfrm>
        <a:prstGeom prst="rect">
          <a:avLst/>
        </a:prstGeom>
      </xdr:spPr>
    </xdr:pic>
    <xdr:clientData/>
  </xdr:twoCellAnchor>
  <xdr:twoCellAnchor>
    <xdr:from>
      <xdr:col>8</xdr:col>
      <xdr:colOff>214923</xdr:colOff>
      <xdr:row>13</xdr:row>
      <xdr:rowOff>104891</xdr:rowOff>
    </xdr:from>
    <xdr:to>
      <xdr:col>10</xdr:col>
      <xdr:colOff>521115</xdr:colOff>
      <xdr:row>17</xdr:row>
      <xdr:rowOff>21084</xdr:rowOff>
    </xdr:to>
    <xdr:pic>
      <xdr:nvPicPr>
        <xdr:cNvPr id="45" name="Image 44">
          <a:hlinkClick xmlns:r="http://schemas.openxmlformats.org/officeDocument/2006/relationships" r:id="rId8"/>
          <a:extLst>
            <a:ext uri="{FF2B5EF4-FFF2-40B4-BE49-F238E27FC236}">
              <a16:creationId xmlns:a16="http://schemas.microsoft.com/office/drawing/2014/main" id="{A7C3D3C8-8017-4BD4-9E35-1EB79547AA5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513385" y="2553712"/>
          <a:ext cx="1895320" cy="645628"/>
        </a:xfrm>
        <a:prstGeom prst="rect">
          <a:avLst/>
        </a:prstGeom>
      </xdr:spPr>
    </xdr:pic>
    <xdr:clientData/>
  </xdr:twoCellAnchor>
  <xdr:twoCellAnchor>
    <xdr:from>
      <xdr:col>3</xdr:col>
      <xdr:colOff>790028</xdr:colOff>
      <xdr:row>38</xdr:row>
      <xdr:rowOff>0</xdr:rowOff>
    </xdr:from>
    <xdr:to>
      <xdr:col>5</xdr:col>
      <xdr:colOff>788644</xdr:colOff>
      <xdr:row>41</xdr:row>
      <xdr:rowOff>24191</xdr:rowOff>
    </xdr:to>
    <xdr:sp macro="" textlink="">
      <xdr:nvSpPr>
        <xdr:cNvPr id="3" name="Rectangle : coins arrondis 2">
          <a:extLst>
            <a:ext uri="{FF2B5EF4-FFF2-40B4-BE49-F238E27FC236}">
              <a16:creationId xmlns:a16="http://schemas.microsoft.com/office/drawing/2014/main" id="{B98BFA48-34EA-4D8A-B169-DDBDE0F95C12}"/>
            </a:ext>
          </a:extLst>
        </xdr:cNvPr>
        <xdr:cNvSpPr/>
      </xdr:nvSpPr>
      <xdr:spPr>
        <a:xfrm>
          <a:off x="2052923" y="7203898"/>
          <a:ext cx="1586560" cy="674755"/>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1</xdr:col>
      <xdr:colOff>132470</xdr:colOff>
      <xdr:row>41</xdr:row>
      <xdr:rowOff>173249</xdr:rowOff>
    </xdr:from>
    <xdr:to>
      <xdr:col>3</xdr:col>
      <xdr:colOff>781184</xdr:colOff>
      <xdr:row>45</xdr:row>
      <xdr:rowOff>16731</xdr:rowOff>
    </xdr:to>
    <xdr:sp macro="" textlink="">
      <xdr:nvSpPr>
        <xdr:cNvPr id="13" name="Rectangle : coins arrondis 12">
          <a:extLst>
            <a:ext uri="{FF2B5EF4-FFF2-40B4-BE49-F238E27FC236}">
              <a16:creationId xmlns:a16="http://schemas.microsoft.com/office/drawing/2014/main" id="{FDEE568B-507D-441A-A38C-9C3E49D142C9}"/>
            </a:ext>
          </a:extLst>
        </xdr:cNvPr>
        <xdr:cNvSpPr/>
      </xdr:nvSpPr>
      <xdr:spPr>
        <a:xfrm>
          <a:off x="460811" y="8226908"/>
          <a:ext cx="1584178" cy="710799"/>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4</xdr:col>
      <xdr:colOff>791094</xdr:colOff>
      <xdr:row>41</xdr:row>
      <xdr:rowOff>173249</xdr:rowOff>
    </xdr:from>
    <xdr:to>
      <xdr:col>6</xdr:col>
      <xdr:colOff>789710</xdr:colOff>
      <xdr:row>45</xdr:row>
      <xdr:rowOff>16731</xdr:rowOff>
    </xdr:to>
    <xdr:sp macro="" textlink="">
      <xdr:nvSpPr>
        <xdr:cNvPr id="15" name="Rectangle : coins arrondis 14">
          <a:extLst>
            <a:ext uri="{FF2B5EF4-FFF2-40B4-BE49-F238E27FC236}">
              <a16:creationId xmlns:a16="http://schemas.microsoft.com/office/drawing/2014/main" id="{03EAE32F-89BF-4B25-92EA-3D5528E59ED1}"/>
            </a:ext>
          </a:extLst>
        </xdr:cNvPr>
        <xdr:cNvSpPr/>
      </xdr:nvSpPr>
      <xdr:spPr>
        <a:xfrm>
          <a:off x="2847961" y="8054354"/>
          <a:ext cx="1586560" cy="701398"/>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2</xdr:col>
      <xdr:colOff>788963</xdr:colOff>
      <xdr:row>46</xdr:row>
      <xdr:rowOff>600</xdr:rowOff>
    </xdr:from>
    <xdr:to>
      <xdr:col>4</xdr:col>
      <xdr:colOff>787579</xdr:colOff>
      <xdr:row>49</xdr:row>
      <xdr:rowOff>15986</xdr:rowOff>
    </xdr:to>
    <xdr:sp macro="" textlink="">
      <xdr:nvSpPr>
        <xdr:cNvPr id="17" name="Rectangle : coins arrondis 16">
          <a:extLst>
            <a:ext uri="{FF2B5EF4-FFF2-40B4-BE49-F238E27FC236}">
              <a16:creationId xmlns:a16="http://schemas.microsoft.com/office/drawing/2014/main" id="{00D65067-2503-4BC1-840E-C2CBDCB0898B}"/>
            </a:ext>
          </a:extLst>
        </xdr:cNvPr>
        <xdr:cNvSpPr/>
      </xdr:nvSpPr>
      <xdr:spPr>
        <a:xfrm>
          <a:off x="1257886" y="8920796"/>
          <a:ext cx="1586560" cy="649498"/>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5</xdr:col>
      <xdr:colOff>792159</xdr:colOff>
      <xdr:row>46</xdr:row>
      <xdr:rowOff>600</xdr:rowOff>
    </xdr:from>
    <xdr:to>
      <xdr:col>8</xdr:col>
      <xdr:colOff>783314</xdr:colOff>
      <xdr:row>49</xdr:row>
      <xdr:rowOff>15986</xdr:rowOff>
    </xdr:to>
    <xdr:sp macro="" textlink="">
      <xdr:nvSpPr>
        <xdr:cNvPr id="18" name="Rectangle : coins arrondis 17">
          <a:extLst>
            <a:ext uri="{FF2B5EF4-FFF2-40B4-BE49-F238E27FC236}">
              <a16:creationId xmlns:a16="http://schemas.microsoft.com/office/drawing/2014/main" id="{2296A192-3184-4998-9888-6931B9461F61}"/>
            </a:ext>
          </a:extLst>
        </xdr:cNvPr>
        <xdr:cNvSpPr/>
      </xdr:nvSpPr>
      <xdr:spPr>
        <a:xfrm>
          <a:off x="3642998" y="8920796"/>
          <a:ext cx="1691001" cy="649498"/>
        </a:xfrm>
        <a:prstGeom prst="roundRect">
          <a:avLst>
            <a:gd name="adj" fmla="val 3187"/>
          </a:avLst>
        </a:prstGeom>
        <a:noFill/>
        <a:ln w="28575">
          <a:solidFill>
            <a:srgbClr val="D8E2DC"/>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4</xdr:col>
      <xdr:colOff>13163</xdr:colOff>
      <xdr:row>38</xdr:row>
      <xdr:rowOff>13912</xdr:rowOff>
    </xdr:from>
    <xdr:to>
      <xdr:col>4</xdr:col>
      <xdr:colOff>301163</xdr:colOff>
      <xdr:row>38</xdr:row>
      <xdr:rowOff>288542</xdr:rowOff>
    </xdr:to>
    <xdr:sp macro="" textlink="">
      <xdr:nvSpPr>
        <xdr:cNvPr id="9" name="Rectangle 8">
          <a:extLst>
            <a:ext uri="{FF2B5EF4-FFF2-40B4-BE49-F238E27FC236}">
              <a16:creationId xmlns:a16="http://schemas.microsoft.com/office/drawing/2014/main" id="{92BB6BD6-92A3-43A8-B69B-B0FD3DB1DF2A}"/>
            </a:ext>
          </a:extLst>
        </xdr:cNvPr>
        <xdr:cNvSpPr/>
      </xdr:nvSpPr>
      <xdr:spPr>
        <a:xfrm>
          <a:off x="2070563" y="7215967"/>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2</xdr:col>
      <xdr:colOff>9046</xdr:colOff>
      <xdr:row>42</xdr:row>
      <xdr:rowOff>9044</xdr:rowOff>
    </xdr:from>
    <xdr:to>
      <xdr:col>2</xdr:col>
      <xdr:colOff>297046</xdr:colOff>
      <xdr:row>42</xdr:row>
      <xdr:rowOff>283674</xdr:rowOff>
    </xdr:to>
    <xdr:sp macro="" textlink="">
      <xdr:nvSpPr>
        <xdr:cNvPr id="32" name="Rectangle 31">
          <a:extLst>
            <a:ext uri="{FF2B5EF4-FFF2-40B4-BE49-F238E27FC236}">
              <a16:creationId xmlns:a16="http://schemas.microsoft.com/office/drawing/2014/main" id="{40496B65-9049-47B5-8056-A812C0BE345E}"/>
            </a:ext>
          </a:extLst>
        </xdr:cNvPr>
        <xdr:cNvSpPr/>
      </xdr:nvSpPr>
      <xdr:spPr>
        <a:xfrm>
          <a:off x="480386" y="8151446"/>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5</xdr:col>
      <xdr:colOff>16258</xdr:colOff>
      <xdr:row>42</xdr:row>
      <xdr:rowOff>7712</xdr:rowOff>
    </xdr:from>
    <xdr:to>
      <xdr:col>5</xdr:col>
      <xdr:colOff>304258</xdr:colOff>
      <xdr:row>42</xdr:row>
      <xdr:rowOff>282342</xdr:rowOff>
    </xdr:to>
    <xdr:sp macro="" textlink="">
      <xdr:nvSpPr>
        <xdr:cNvPr id="33" name="Rectangle 32">
          <a:extLst>
            <a:ext uri="{FF2B5EF4-FFF2-40B4-BE49-F238E27FC236}">
              <a16:creationId xmlns:a16="http://schemas.microsoft.com/office/drawing/2014/main" id="{75EB46B4-E987-45A2-9593-5BE5C2011C1C}"/>
            </a:ext>
          </a:extLst>
        </xdr:cNvPr>
        <xdr:cNvSpPr/>
      </xdr:nvSpPr>
      <xdr:spPr>
        <a:xfrm>
          <a:off x="2865676" y="8068748"/>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editAs="oneCell">
    <xdr:from>
      <xdr:col>4</xdr:col>
      <xdr:colOff>31894</xdr:colOff>
      <xdr:row>38</xdr:row>
      <xdr:rowOff>34808</xdr:rowOff>
    </xdr:from>
    <xdr:to>
      <xdr:col>4</xdr:col>
      <xdr:colOff>272472</xdr:colOff>
      <xdr:row>38</xdr:row>
      <xdr:rowOff>277421</xdr:rowOff>
    </xdr:to>
    <xdr:pic>
      <xdr:nvPicPr>
        <xdr:cNvPr id="7" name="Image 6">
          <a:extLst>
            <a:ext uri="{FF2B5EF4-FFF2-40B4-BE49-F238E27FC236}">
              <a16:creationId xmlns:a16="http://schemas.microsoft.com/office/drawing/2014/main" id="{698786B9-FF6A-4280-A1E7-420DA8A4F325}"/>
            </a:ext>
          </a:extLst>
        </xdr:cNvPr>
        <xdr:cNvPicPr>
          <a:picLocks noChangeAspect="1"/>
        </xdr:cNvPicPr>
      </xdr:nvPicPr>
      <xdr:blipFill>
        <a:blip xmlns:r="http://schemas.openxmlformats.org/officeDocument/2006/relationships" r:embed="rId10"/>
        <a:stretch>
          <a:fillRect/>
        </a:stretch>
      </xdr:blipFill>
      <xdr:spPr>
        <a:xfrm>
          <a:off x="2089294" y="7236863"/>
          <a:ext cx="240578" cy="242613"/>
        </a:xfrm>
        <a:prstGeom prst="rect">
          <a:avLst/>
        </a:prstGeom>
      </xdr:spPr>
    </xdr:pic>
    <xdr:clientData/>
  </xdr:twoCellAnchor>
  <xdr:twoCellAnchor editAs="oneCell">
    <xdr:from>
      <xdr:col>5</xdr:col>
      <xdr:colOff>7856</xdr:colOff>
      <xdr:row>41</xdr:row>
      <xdr:rowOff>172824</xdr:rowOff>
    </xdr:from>
    <xdr:to>
      <xdr:col>5</xdr:col>
      <xdr:colOff>310300</xdr:colOff>
      <xdr:row>42</xdr:row>
      <xdr:rowOff>290660</xdr:rowOff>
    </xdr:to>
    <xdr:pic>
      <xdr:nvPicPr>
        <xdr:cNvPr id="10" name="Image 9">
          <a:extLst>
            <a:ext uri="{FF2B5EF4-FFF2-40B4-BE49-F238E27FC236}">
              <a16:creationId xmlns:a16="http://schemas.microsoft.com/office/drawing/2014/main" id="{6D4C8186-94AC-4D15-89EE-A0F8969DA7F5}"/>
            </a:ext>
          </a:extLst>
        </xdr:cNvPr>
        <xdr:cNvPicPr>
          <a:picLocks noChangeAspect="1"/>
        </xdr:cNvPicPr>
      </xdr:nvPicPr>
      <xdr:blipFill>
        <a:blip xmlns:r="http://schemas.openxmlformats.org/officeDocument/2006/relationships" r:embed="rId11"/>
        <a:stretch>
          <a:fillRect/>
        </a:stretch>
      </xdr:blipFill>
      <xdr:spPr>
        <a:xfrm>
          <a:off x="2859464" y="8130618"/>
          <a:ext cx="302444" cy="302444"/>
        </a:xfrm>
        <a:prstGeom prst="rect">
          <a:avLst/>
        </a:prstGeom>
      </xdr:spPr>
    </xdr:pic>
    <xdr:clientData/>
  </xdr:twoCellAnchor>
  <xdr:twoCellAnchor editAs="oneCell">
    <xdr:from>
      <xdr:col>2</xdr:col>
      <xdr:colOff>25303</xdr:colOff>
      <xdr:row>42</xdr:row>
      <xdr:rowOff>23171</xdr:rowOff>
    </xdr:from>
    <xdr:to>
      <xdr:col>2</xdr:col>
      <xdr:colOff>276781</xdr:colOff>
      <xdr:row>42</xdr:row>
      <xdr:rowOff>273983</xdr:rowOff>
    </xdr:to>
    <xdr:pic>
      <xdr:nvPicPr>
        <xdr:cNvPr id="5" name="Image 4">
          <a:extLst>
            <a:ext uri="{FF2B5EF4-FFF2-40B4-BE49-F238E27FC236}">
              <a16:creationId xmlns:a16="http://schemas.microsoft.com/office/drawing/2014/main" id="{1361C66B-DFE7-4FAF-82CC-5973544AD167}"/>
            </a:ext>
          </a:extLst>
        </xdr:cNvPr>
        <xdr:cNvPicPr>
          <a:picLocks noChangeAspect="1"/>
        </xdr:cNvPicPr>
      </xdr:nvPicPr>
      <xdr:blipFill>
        <a:blip xmlns:r="http://schemas.openxmlformats.org/officeDocument/2006/relationships" r:embed="rId12"/>
        <a:stretch>
          <a:fillRect/>
        </a:stretch>
      </xdr:blipFill>
      <xdr:spPr>
        <a:xfrm>
          <a:off x="496855" y="8162561"/>
          <a:ext cx="251478" cy="250812"/>
        </a:xfrm>
        <a:prstGeom prst="rect">
          <a:avLst/>
        </a:prstGeom>
      </xdr:spPr>
    </xdr:pic>
    <xdr:clientData/>
  </xdr:twoCellAnchor>
  <xdr:twoCellAnchor>
    <xdr:from>
      <xdr:col>3</xdr:col>
      <xdr:colOff>18953</xdr:colOff>
      <xdr:row>46</xdr:row>
      <xdr:rowOff>14980</xdr:rowOff>
    </xdr:from>
    <xdr:to>
      <xdr:col>3</xdr:col>
      <xdr:colOff>306953</xdr:colOff>
      <xdr:row>46</xdr:row>
      <xdr:rowOff>289610</xdr:rowOff>
    </xdr:to>
    <xdr:sp macro="" textlink="">
      <xdr:nvSpPr>
        <xdr:cNvPr id="34" name="Rectangle 33">
          <a:extLst>
            <a:ext uri="{FF2B5EF4-FFF2-40B4-BE49-F238E27FC236}">
              <a16:creationId xmlns:a16="http://schemas.microsoft.com/office/drawing/2014/main" id="{F78645F1-11FB-4ED7-B694-3E08FD196677}"/>
            </a:ext>
          </a:extLst>
        </xdr:cNvPr>
        <xdr:cNvSpPr/>
      </xdr:nvSpPr>
      <xdr:spPr>
        <a:xfrm>
          <a:off x="1280486" y="8921913"/>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6</xdr:col>
      <xdr:colOff>23186</xdr:colOff>
      <xdr:row>46</xdr:row>
      <xdr:rowOff>10747</xdr:rowOff>
    </xdr:from>
    <xdr:to>
      <xdr:col>6</xdr:col>
      <xdr:colOff>311186</xdr:colOff>
      <xdr:row>46</xdr:row>
      <xdr:rowOff>285377</xdr:rowOff>
    </xdr:to>
    <xdr:sp macro="" textlink="">
      <xdr:nvSpPr>
        <xdr:cNvPr id="35" name="Rectangle 34">
          <a:extLst>
            <a:ext uri="{FF2B5EF4-FFF2-40B4-BE49-F238E27FC236}">
              <a16:creationId xmlns:a16="http://schemas.microsoft.com/office/drawing/2014/main" id="{66DC7AD5-DBE4-4C26-A16C-643FF505EC87}"/>
            </a:ext>
          </a:extLst>
        </xdr:cNvPr>
        <xdr:cNvSpPr/>
      </xdr:nvSpPr>
      <xdr:spPr>
        <a:xfrm>
          <a:off x="3659619" y="8917680"/>
          <a:ext cx="288000" cy="2746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editAs="oneCell">
    <xdr:from>
      <xdr:col>6</xdr:col>
      <xdr:colOff>53163</xdr:colOff>
      <xdr:row>46</xdr:row>
      <xdr:rowOff>37336</xdr:rowOff>
    </xdr:from>
    <xdr:to>
      <xdr:col>6</xdr:col>
      <xdr:colOff>283534</xdr:colOff>
      <xdr:row>46</xdr:row>
      <xdr:rowOff>267025</xdr:rowOff>
    </xdr:to>
    <xdr:pic>
      <xdr:nvPicPr>
        <xdr:cNvPr id="6" name="Image 5">
          <a:extLst>
            <a:ext uri="{FF2B5EF4-FFF2-40B4-BE49-F238E27FC236}">
              <a16:creationId xmlns:a16="http://schemas.microsoft.com/office/drawing/2014/main" id="{1F5C33D8-CBC4-46E8-B8D2-9CEBBF59CB01}"/>
            </a:ext>
          </a:extLst>
        </xdr:cNvPr>
        <xdr:cNvPicPr>
          <a:picLocks noChangeAspect="1"/>
        </xdr:cNvPicPr>
      </xdr:nvPicPr>
      <xdr:blipFill>
        <a:blip xmlns:r="http://schemas.openxmlformats.org/officeDocument/2006/relationships" r:embed="rId13"/>
        <a:stretch>
          <a:fillRect/>
        </a:stretch>
      </xdr:blipFill>
      <xdr:spPr>
        <a:xfrm>
          <a:off x="3691861" y="8986406"/>
          <a:ext cx="230371" cy="229689"/>
        </a:xfrm>
        <a:prstGeom prst="rect">
          <a:avLst/>
        </a:prstGeom>
      </xdr:spPr>
    </xdr:pic>
    <xdr:clientData/>
  </xdr:twoCellAnchor>
  <xdr:twoCellAnchor editAs="oneCell">
    <xdr:from>
      <xdr:col>3</xdr:col>
      <xdr:colOff>43269</xdr:colOff>
      <xdr:row>46</xdr:row>
      <xdr:rowOff>34074</xdr:rowOff>
    </xdr:from>
    <xdr:to>
      <xdr:col>3</xdr:col>
      <xdr:colOff>285607</xdr:colOff>
      <xdr:row>46</xdr:row>
      <xdr:rowOff>277627</xdr:rowOff>
    </xdr:to>
    <xdr:pic>
      <xdr:nvPicPr>
        <xdr:cNvPr id="24" name="Image 23">
          <a:extLst>
            <a:ext uri="{FF2B5EF4-FFF2-40B4-BE49-F238E27FC236}">
              <a16:creationId xmlns:a16="http://schemas.microsoft.com/office/drawing/2014/main" id="{0F73DA80-D73F-41B9-AFC3-51F2757729C1}"/>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307362" y="8983144"/>
          <a:ext cx="242338" cy="2435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531091</xdr:colOff>
      <xdr:row>40</xdr:row>
      <xdr:rowOff>123151</xdr:rowOff>
    </xdr:from>
    <xdr:to>
      <xdr:col>3</xdr:col>
      <xdr:colOff>738909</xdr:colOff>
      <xdr:row>41</xdr:row>
      <xdr:rowOff>107758</xdr:rowOff>
    </xdr:to>
    <xdr:cxnSp macro="">
      <xdr:nvCxnSpPr>
        <xdr:cNvPr id="12" name="Connecteur droit avec flèche 11">
          <a:extLst>
            <a:ext uri="{FF2B5EF4-FFF2-40B4-BE49-F238E27FC236}">
              <a16:creationId xmlns:a16="http://schemas.microsoft.com/office/drawing/2014/main" id="{370F07C8-2FBE-4CFD-A84D-DAE3981F7DFC}"/>
            </a:ext>
          </a:extLst>
        </xdr:cNvPr>
        <xdr:cNvCxnSpPr/>
      </xdr:nvCxnSpPr>
      <xdr:spPr>
        <a:xfrm flipV="1">
          <a:off x="1801091" y="7912484"/>
          <a:ext cx="207818" cy="169335"/>
        </a:xfrm>
        <a:prstGeom prst="straightConnector1">
          <a:avLst/>
        </a:prstGeom>
        <a:ln w="12700">
          <a:solidFill>
            <a:srgbClr val="FFCAD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29248</xdr:colOff>
      <xdr:row>40</xdr:row>
      <xdr:rowOff>137006</xdr:rowOff>
    </xdr:from>
    <xdr:to>
      <xdr:col>6</xdr:col>
      <xdr:colOff>223212</xdr:colOff>
      <xdr:row>41</xdr:row>
      <xdr:rowOff>123151</xdr:rowOff>
    </xdr:to>
    <xdr:cxnSp macro="">
      <xdr:nvCxnSpPr>
        <xdr:cNvPr id="37" name="Connecteur droit avec flèche 36">
          <a:extLst>
            <a:ext uri="{FF2B5EF4-FFF2-40B4-BE49-F238E27FC236}">
              <a16:creationId xmlns:a16="http://schemas.microsoft.com/office/drawing/2014/main" id="{690BCA6B-03E8-4970-B114-91E29C3D9FC7}"/>
            </a:ext>
          </a:extLst>
        </xdr:cNvPr>
        <xdr:cNvCxnSpPr/>
      </xdr:nvCxnSpPr>
      <xdr:spPr>
        <a:xfrm flipH="1" flipV="1">
          <a:off x="3677612" y="7926339"/>
          <a:ext cx="193964" cy="170873"/>
        </a:xfrm>
        <a:prstGeom prst="straightConnector1">
          <a:avLst/>
        </a:prstGeom>
        <a:ln w="12700">
          <a:solidFill>
            <a:srgbClr val="FFCAD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521855</xdr:colOff>
      <xdr:row>44</xdr:row>
      <xdr:rowOff>137005</xdr:rowOff>
    </xdr:from>
    <xdr:to>
      <xdr:col>4</xdr:col>
      <xdr:colOff>729673</xdr:colOff>
      <xdr:row>45</xdr:row>
      <xdr:rowOff>121613</xdr:rowOff>
    </xdr:to>
    <xdr:cxnSp macro="">
      <xdr:nvCxnSpPr>
        <xdr:cNvPr id="40" name="Connecteur droit avec flèche 39">
          <a:extLst>
            <a:ext uri="{FF2B5EF4-FFF2-40B4-BE49-F238E27FC236}">
              <a16:creationId xmlns:a16="http://schemas.microsoft.com/office/drawing/2014/main" id="{60B68C14-BAF2-45D0-B3F5-0A106588BC28}"/>
            </a:ext>
          </a:extLst>
        </xdr:cNvPr>
        <xdr:cNvCxnSpPr/>
      </xdr:nvCxnSpPr>
      <xdr:spPr>
        <a:xfrm flipV="1">
          <a:off x="2584643" y="8796096"/>
          <a:ext cx="207818" cy="169335"/>
        </a:xfrm>
        <a:prstGeom prst="straightConnector1">
          <a:avLst/>
        </a:prstGeom>
        <a:ln w="12700">
          <a:solidFill>
            <a:srgbClr val="FFCAD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43103</xdr:colOff>
      <xdr:row>44</xdr:row>
      <xdr:rowOff>150860</xdr:rowOff>
    </xdr:from>
    <xdr:to>
      <xdr:col>8</xdr:col>
      <xdr:colOff>121613</xdr:colOff>
      <xdr:row>45</xdr:row>
      <xdr:rowOff>137006</xdr:rowOff>
    </xdr:to>
    <xdr:cxnSp macro="">
      <xdr:nvCxnSpPr>
        <xdr:cNvPr id="41" name="Connecteur droit avec flèche 40">
          <a:extLst>
            <a:ext uri="{FF2B5EF4-FFF2-40B4-BE49-F238E27FC236}">
              <a16:creationId xmlns:a16="http://schemas.microsoft.com/office/drawing/2014/main" id="{FC66E422-5358-402B-AA0B-3286BF199FFB}"/>
            </a:ext>
          </a:extLst>
        </xdr:cNvPr>
        <xdr:cNvCxnSpPr/>
      </xdr:nvCxnSpPr>
      <xdr:spPr>
        <a:xfrm flipH="1" flipV="1">
          <a:off x="4484255" y="8809951"/>
          <a:ext cx="193964" cy="170873"/>
        </a:xfrm>
        <a:prstGeom prst="straightConnector1">
          <a:avLst/>
        </a:prstGeom>
        <a:ln w="12700">
          <a:solidFill>
            <a:srgbClr val="FFCAD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3992</xdr:colOff>
      <xdr:row>69</xdr:row>
      <xdr:rowOff>98323</xdr:rowOff>
    </xdr:from>
    <xdr:to>
      <xdr:col>7</xdr:col>
      <xdr:colOff>0</xdr:colOff>
      <xdr:row>82</xdr:row>
      <xdr:rowOff>96397</xdr:rowOff>
    </xdr:to>
    <xdr:graphicFrame macro="">
      <xdr:nvGraphicFramePr>
        <xdr:cNvPr id="39" name="Graphique 38">
          <a:extLst>
            <a:ext uri="{FF2B5EF4-FFF2-40B4-BE49-F238E27FC236}">
              <a16:creationId xmlns:a16="http://schemas.microsoft.com/office/drawing/2014/main" id="{601258A3-F2A8-486D-86D8-49F349A3CC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8</xdr:col>
      <xdr:colOff>6298</xdr:colOff>
      <xdr:row>69</xdr:row>
      <xdr:rowOff>99434</xdr:rowOff>
    </xdr:from>
    <xdr:to>
      <xdr:col>13</xdr:col>
      <xdr:colOff>609</xdr:colOff>
      <xdr:row>82</xdr:row>
      <xdr:rowOff>87924</xdr:rowOff>
    </xdr:to>
    <xdr:graphicFrame macro="">
      <xdr:nvGraphicFramePr>
        <xdr:cNvPr id="42" name="Graphique 41">
          <a:extLst>
            <a:ext uri="{FF2B5EF4-FFF2-40B4-BE49-F238E27FC236}">
              <a16:creationId xmlns:a16="http://schemas.microsoft.com/office/drawing/2014/main" id="{BE8D040E-FA77-4EA6-B70A-39807CDD3D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3</xdr:col>
      <xdr:colOff>345427</xdr:colOff>
      <xdr:row>87</xdr:row>
      <xdr:rowOff>52551</xdr:rowOff>
    </xdr:from>
    <xdr:to>
      <xdr:col>11</xdr:col>
      <xdr:colOff>401871</xdr:colOff>
      <xdr:row>101</xdr:row>
      <xdr:rowOff>47036</xdr:rowOff>
    </xdr:to>
    <xdr:graphicFrame macro="">
      <xdr:nvGraphicFramePr>
        <xdr:cNvPr id="70" name="Graphique 69">
          <a:extLst>
            <a:ext uri="{FF2B5EF4-FFF2-40B4-BE49-F238E27FC236}">
              <a16:creationId xmlns:a16="http://schemas.microsoft.com/office/drawing/2014/main" id="{F1FDCA3E-0656-4341-9942-F6C16915B2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8</xdr:col>
      <xdr:colOff>758247</xdr:colOff>
      <xdr:row>87</xdr:row>
      <xdr:rowOff>19930</xdr:rowOff>
    </xdr:from>
    <xdr:to>
      <xdr:col>9</xdr:col>
      <xdr:colOff>471596</xdr:colOff>
      <xdr:row>89</xdr:row>
      <xdr:rowOff>154024</xdr:rowOff>
    </xdr:to>
    <xdr:pic>
      <xdr:nvPicPr>
        <xdr:cNvPr id="14" name="Image 13">
          <a:extLst>
            <a:ext uri="{FF2B5EF4-FFF2-40B4-BE49-F238E27FC236}">
              <a16:creationId xmlns:a16="http://schemas.microsoft.com/office/drawing/2014/main" id="{E5C682CC-6EB7-4598-AE33-055102680EBB}"/>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676431">
          <a:off x="5292617" y="17630597"/>
          <a:ext cx="503572" cy="491575"/>
        </a:xfrm>
        <a:prstGeom prst="rect">
          <a:avLst/>
        </a:prstGeom>
      </xdr:spPr>
    </xdr:pic>
    <xdr:clientData/>
  </xdr:twoCellAnchor>
  <xdr:twoCellAnchor>
    <xdr:from>
      <xdr:col>4</xdr:col>
      <xdr:colOff>15875</xdr:colOff>
      <xdr:row>90</xdr:row>
      <xdr:rowOff>111416</xdr:rowOff>
    </xdr:from>
    <xdr:to>
      <xdr:col>10</xdr:col>
      <xdr:colOff>746125</xdr:colOff>
      <xdr:row>92</xdr:row>
      <xdr:rowOff>39688</xdr:rowOff>
    </xdr:to>
    <xdr:sp macro="" textlink="">
      <xdr:nvSpPr>
        <xdr:cNvPr id="11" name="Rectangle : coins arrondis 10">
          <a:extLst>
            <a:ext uri="{FF2B5EF4-FFF2-40B4-BE49-F238E27FC236}">
              <a16:creationId xmlns:a16="http://schemas.microsoft.com/office/drawing/2014/main" id="{2A7D5A28-093C-4DBD-8DC7-0B2717D82B87}"/>
            </a:ext>
          </a:extLst>
        </xdr:cNvPr>
        <xdr:cNvSpPr/>
      </xdr:nvSpPr>
      <xdr:spPr>
        <a:xfrm>
          <a:off x="2071688" y="18558166"/>
          <a:ext cx="4810125" cy="293397"/>
        </a:xfrm>
        <a:prstGeom prst="roundRect">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4</xdr:col>
      <xdr:colOff>134936</xdr:colOff>
      <xdr:row>90</xdr:row>
      <xdr:rowOff>114303</xdr:rowOff>
    </xdr:from>
    <xdr:to>
      <xdr:col>5</xdr:col>
      <xdr:colOff>61186</xdr:colOff>
      <xdr:row>92</xdr:row>
      <xdr:rowOff>37178</xdr:rowOff>
    </xdr:to>
    <xdr:sp macro="" textlink="'Données sources'!E59">
      <xdr:nvSpPr>
        <xdr:cNvPr id="4" name="ZoneTexte 3">
          <a:extLst>
            <a:ext uri="{FF2B5EF4-FFF2-40B4-BE49-F238E27FC236}">
              <a16:creationId xmlns:a16="http://schemas.microsoft.com/office/drawing/2014/main" id="{E56D6839-8A65-457E-BB10-E56A27E79125}"/>
            </a:ext>
          </a:extLst>
        </xdr:cNvPr>
        <xdr:cNvSpPr txBox="1"/>
      </xdr:nvSpPr>
      <xdr:spPr>
        <a:xfrm>
          <a:off x="2190749"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0F584E6-5472-4C03-ADC8-18A67E0E9DC4}" type="TxLink">
            <a:rPr lang="en-US" sz="1000" b="1" i="0" u="none" strike="noStrike">
              <a:solidFill>
                <a:srgbClr val="9D8189"/>
              </a:solidFill>
              <a:latin typeface="Calibri"/>
              <a:ea typeface="Calibri"/>
              <a:cs typeface="Calibri"/>
            </a:rPr>
            <a:pPr algn="ctr"/>
            <a:t>-28%</a:t>
          </a:fld>
          <a:endParaRPr lang="fr-FR" sz="1000" b="1">
            <a:solidFill>
              <a:srgbClr val="9D8189"/>
            </a:solidFill>
          </a:endParaRPr>
        </a:p>
      </xdr:txBody>
    </xdr:sp>
    <xdr:clientData/>
  </xdr:twoCellAnchor>
  <xdr:twoCellAnchor>
    <xdr:from>
      <xdr:col>5</xdr:col>
      <xdr:colOff>309164</xdr:colOff>
      <xdr:row>90</xdr:row>
      <xdr:rowOff>114303</xdr:rowOff>
    </xdr:from>
    <xdr:to>
      <xdr:col>6</xdr:col>
      <xdr:colOff>235414</xdr:colOff>
      <xdr:row>92</xdr:row>
      <xdr:rowOff>37178</xdr:rowOff>
    </xdr:to>
    <xdr:sp macro="" textlink="'Données sources'!E60">
      <xdr:nvSpPr>
        <xdr:cNvPr id="36" name="ZoneTexte 35">
          <a:extLst>
            <a:ext uri="{FF2B5EF4-FFF2-40B4-BE49-F238E27FC236}">
              <a16:creationId xmlns:a16="http://schemas.microsoft.com/office/drawing/2014/main" id="{B1DEDEB2-D2ED-4954-AF7D-60682947EA18}"/>
            </a:ext>
          </a:extLst>
        </xdr:cNvPr>
        <xdr:cNvSpPr txBox="1"/>
      </xdr:nvSpPr>
      <xdr:spPr>
        <a:xfrm>
          <a:off x="3158727"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9C5ED04-4076-4F33-826B-D376084B2F1C}" type="TxLink">
            <a:rPr lang="en-US" sz="1000" b="1" i="0" u="none" strike="noStrike">
              <a:solidFill>
                <a:srgbClr val="9D8189"/>
              </a:solidFill>
              <a:latin typeface="Calibri"/>
              <a:ea typeface="Calibri"/>
              <a:cs typeface="Calibri"/>
            </a:rPr>
            <a:pPr algn="ctr"/>
            <a:t>-10%</a:t>
          </a:fld>
          <a:endParaRPr lang="fr-FR" sz="1000" b="1">
            <a:solidFill>
              <a:srgbClr val="9D8189"/>
            </a:solidFill>
          </a:endParaRPr>
        </a:p>
      </xdr:txBody>
    </xdr:sp>
    <xdr:clientData/>
  </xdr:twoCellAnchor>
  <xdr:twoCellAnchor>
    <xdr:from>
      <xdr:col>6</xdr:col>
      <xdr:colOff>483392</xdr:colOff>
      <xdr:row>90</xdr:row>
      <xdr:rowOff>114303</xdr:rowOff>
    </xdr:from>
    <xdr:to>
      <xdr:col>8</xdr:col>
      <xdr:colOff>298517</xdr:colOff>
      <xdr:row>92</xdr:row>
      <xdr:rowOff>37178</xdr:rowOff>
    </xdr:to>
    <xdr:sp macro="" textlink="'Données sources'!E61">
      <xdr:nvSpPr>
        <xdr:cNvPr id="38" name="ZoneTexte 37">
          <a:extLst>
            <a:ext uri="{FF2B5EF4-FFF2-40B4-BE49-F238E27FC236}">
              <a16:creationId xmlns:a16="http://schemas.microsoft.com/office/drawing/2014/main" id="{BCF4A8BB-6C39-44D3-B75A-A95726706E7A}"/>
            </a:ext>
          </a:extLst>
        </xdr:cNvPr>
        <xdr:cNvSpPr txBox="1"/>
      </xdr:nvSpPr>
      <xdr:spPr>
        <a:xfrm>
          <a:off x="4126705"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8CA0416-CAFE-4B27-B8D9-88E1DFAAFE6F}" type="TxLink">
            <a:rPr lang="en-US" sz="1000" b="1" i="0" u="none" strike="noStrike">
              <a:solidFill>
                <a:srgbClr val="9D8189"/>
              </a:solidFill>
              <a:latin typeface="Calibri"/>
              <a:ea typeface="Calibri"/>
              <a:cs typeface="Calibri"/>
            </a:rPr>
            <a:pPr algn="ctr"/>
            <a:t>-10%</a:t>
          </a:fld>
          <a:endParaRPr lang="fr-FR" sz="1000" b="1">
            <a:solidFill>
              <a:srgbClr val="9D8189"/>
            </a:solidFill>
          </a:endParaRPr>
        </a:p>
      </xdr:txBody>
    </xdr:sp>
    <xdr:clientData/>
  </xdr:twoCellAnchor>
  <xdr:twoCellAnchor>
    <xdr:from>
      <xdr:col>8</xdr:col>
      <xdr:colOff>546495</xdr:colOff>
      <xdr:row>90</xdr:row>
      <xdr:rowOff>114303</xdr:rowOff>
    </xdr:from>
    <xdr:to>
      <xdr:col>9</xdr:col>
      <xdr:colOff>472745</xdr:colOff>
      <xdr:row>92</xdr:row>
      <xdr:rowOff>37178</xdr:rowOff>
    </xdr:to>
    <xdr:sp macro="" textlink="'Données sources'!E62">
      <xdr:nvSpPr>
        <xdr:cNvPr id="44" name="ZoneTexte 43">
          <a:extLst>
            <a:ext uri="{FF2B5EF4-FFF2-40B4-BE49-F238E27FC236}">
              <a16:creationId xmlns:a16="http://schemas.microsoft.com/office/drawing/2014/main" id="{BB9A929D-4EE1-4108-8012-E4FEA49D5DF7}"/>
            </a:ext>
          </a:extLst>
        </xdr:cNvPr>
        <xdr:cNvSpPr txBox="1"/>
      </xdr:nvSpPr>
      <xdr:spPr>
        <a:xfrm>
          <a:off x="5094683"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657DAA3-7BDD-4429-B172-33F3D2A9ED3A}" type="TxLink">
            <a:rPr lang="en-US" sz="1000" b="1" i="0" u="none" strike="noStrike">
              <a:solidFill>
                <a:srgbClr val="9D8189"/>
              </a:solidFill>
              <a:latin typeface="Calibri"/>
              <a:ea typeface="Calibri"/>
              <a:cs typeface="Calibri"/>
            </a:rPr>
            <a:pPr algn="ctr"/>
            <a:t>-42%</a:t>
          </a:fld>
          <a:endParaRPr lang="fr-FR" sz="1000" b="1">
            <a:solidFill>
              <a:srgbClr val="9D8189"/>
            </a:solidFill>
          </a:endParaRPr>
        </a:p>
      </xdr:txBody>
    </xdr:sp>
    <xdr:clientData/>
  </xdr:twoCellAnchor>
  <xdr:twoCellAnchor>
    <xdr:from>
      <xdr:col>9</xdr:col>
      <xdr:colOff>720724</xdr:colOff>
      <xdr:row>90</xdr:row>
      <xdr:rowOff>114303</xdr:rowOff>
    </xdr:from>
    <xdr:to>
      <xdr:col>10</xdr:col>
      <xdr:colOff>646974</xdr:colOff>
      <xdr:row>92</xdr:row>
      <xdr:rowOff>37178</xdr:rowOff>
    </xdr:to>
    <xdr:sp macro="" textlink="'Données sources'!E63">
      <xdr:nvSpPr>
        <xdr:cNvPr id="46" name="ZoneTexte 45">
          <a:extLst>
            <a:ext uri="{FF2B5EF4-FFF2-40B4-BE49-F238E27FC236}">
              <a16:creationId xmlns:a16="http://schemas.microsoft.com/office/drawing/2014/main" id="{E614FA7A-FFC0-4852-A3B5-944AB54F8404}"/>
            </a:ext>
          </a:extLst>
        </xdr:cNvPr>
        <xdr:cNvSpPr txBox="1"/>
      </xdr:nvSpPr>
      <xdr:spPr>
        <a:xfrm>
          <a:off x="6062662" y="18561053"/>
          <a:ext cx="720000" cy="28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886E23C-3921-4B36-923C-7930BB2E121A}" type="TxLink">
            <a:rPr lang="en-US" sz="1000" b="1" i="0" u="none" strike="noStrike">
              <a:solidFill>
                <a:srgbClr val="9D8189"/>
              </a:solidFill>
              <a:latin typeface="Calibri"/>
              <a:ea typeface="Calibri"/>
              <a:cs typeface="Calibri"/>
            </a:rPr>
            <a:pPr algn="ctr"/>
            <a:t>+2%</a:t>
          </a:fld>
          <a:endParaRPr lang="fr-FR" sz="1000" b="1">
            <a:solidFill>
              <a:srgbClr val="9D8189"/>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6788727</xdr:colOff>
      <xdr:row>0</xdr:row>
      <xdr:rowOff>39584</xdr:rowOff>
    </xdr:from>
    <xdr:to>
      <xdr:col>2</xdr:col>
      <xdr:colOff>7144987</xdr:colOff>
      <xdr:row>0</xdr:row>
      <xdr:rowOff>395844</xdr:rowOff>
    </xdr:to>
    <xdr:pic>
      <xdr:nvPicPr>
        <xdr:cNvPr id="3" name="Image 2">
          <a:hlinkClick xmlns:r="http://schemas.openxmlformats.org/officeDocument/2006/relationships" r:id="rId1"/>
          <a:extLst>
            <a:ext uri="{FF2B5EF4-FFF2-40B4-BE49-F238E27FC236}">
              <a16:creationId xmlns:a16="http://schemas.microsoft.com/office/drawing/2014/main" id="{3475DCBC-40EC-4630-8D10-480D2ACBA36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143013" y="39584"/>
          <a:ext cx="356260" cy="3562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202164</xdr:colOff>
      <xdr:row>0</xdr:row>
      <xdr:rowOff>46652</xdr:rowOff>
    </xdr:from>
    <xdr:to>
      <xdr:col>19</xdr:col>
      <xdr:colOff>746449</xdr:colOff>
      <xdr:row>0</xdr:row>
      <xdr:rowOff>590937</xdr:rowOff>
    </xdr:to>
    <xdr:pic>
      <xdr:nvPicPr>
        <xdr:cNvPr id="3" name="Image 2">
          <a:hlinkClick xmlns:r="http://schemas.openxmlformats.org/officeDocument/2006/relationships" r:id="rId1"/>
          <a:extLst>
            <a:ext uri="{FF2B5EF4-FFF2-40B4-BE49-F238E27FC236}">
              <a16:creationId xmlns:a16="http://schemas.microsoft.com/office/drawing/2014/main" id="{91DF10E6-E0EB-4E7D-A888-BCD3979533C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2673388" y="46652"/>
          <a:ext cx="544285" cy="54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52552</xdr:colOff>
      <xdr:row>0</xdr:row>
      <xdr:rowOff>26276</xdr:rowOff>
    </xdr:from>
    <xdr:to>
      <xdr:col>0</xdr:col>
      <xdr:colOff>551793</xdr:colOff>
      <xdr:row>0</xdr:row>
      <xdr:rowOff>525517</xdr:rowOff>
    </xdr:to>
    <xdr:pic>
      <xdr:nvPicPr>
        <xdr:cNvPr id="3" name="Image 2">
          <a:hlinkClick xmlns:r="http://schemas.openxmlformats.org/officeDocument/2006/relationships" r:id="rId1"/>
          <a:extLst>
            <a:ext uri="{FF2B5EF4-FFF2-40B4-BE49-F238E27FC236}">
              <a16:creationId xmlns:a16="http://schemas.microsoft.com/office/drawing/2014/main" id="{1B6FACC6-D87D-4CB5-A38B-CBE3D086A19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2552" y="26276"/>
          <a:ext cx="499241" cy="499241"/>
        </a:xfrm>
        <a:prstGeom prst="rect">
          <a:avLst/>
        </a:prstGeom>
      </xdr:spPr>
    </xdr:pic>
    <xdr:clientData/>
  </xdr:twoCellAnchor>
</xdr:wsDr>
</file>

<file path=xl/theme/theme1.xml><?xml version="1.0" encoding="utf-8"?>
<a:theme xmlns:a="http://schemas.openxmlformats.org/drawingml/2006/main" name="Office Theme">
  <a:themeElements>
    <a:clrScheme name="Office 2007-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CB29E4-62A3-43FA-9D32-08B5C0F102D7}">
  <sheetPr>
    <tabColor rgb="FFFFCAD4"/>
  </sheetPr>
  <dimension ref="A2:N103"/>
  <sheetViews>
    <sheetView tabSelected="1" zoomScale="120" zoomScaleNormal="120" workbookViewId="0"/>
  </sheetViews>
  <sheetFormatPr baseColWidth="10" defaultRowHeight="14.4" x14ac:dyDescent="0.3"/>
  <cols>
    <col min="1" max="1" width="4.77734375" style="10" customWidth="1"/>
    <col min="2" max="2" width="2.109375" style="10" customWidth="1"/>
    <col min="3" max="7" width="11.5546875" style="10"/>
    <col min="8" max="8" width="1.6640625" style="10" customWidth="1"/>
    <col min="9" max="13" width="11.5546875" style="10"/>
    <col min="14" max="14" width="2" style="10" customWidth="1"/>
    <col min="15" max="16384" width="11.5546875" style="10"/>
  </cols>
  <sheetData>
    <row r="2" spans="2:14" ht="20.399999999999999" customHeight="1" x14ac:dyDescent="0.3">
      <c r="B2" s="16"/>
      <c r="C2" s="17"/>
      <c r="D2" s="17"/>
      <c r="E2" s="17"/>
      <c r="F2" s="17"/>
      <c r="G2" s="17"/>
      <c r="H2" s="17"/>
      <c r="I2" s="17"/>
      <c r="J2" s="17"/>
      <c r="K2" s="17"/>
      <c r="L2" s="17"/>
      <c r="M2" s="17"/>
      <c r="N2" s="18"/>
    </row>
    <row r="3" spans="2:14" x14ac:dyDescent="0.3">
      <c r="B3" s="19"/>
      <c r="C3" s="20"/>
      <c r="D3" s="20"/>
      <c r="E3" s="20"/>
      <c r="F3" s="20"/>
      <c r="G3" s="20"/>
      <c r="H3" s="20"/>
      <c r="I3" s="20"/>
      <c r="J3" s="20"/>
      <c r="K3" s="20"/>
      <c r="L3" s="20"/>
      <c r="M3" s="20"/>
      <c r="N3" s="21"/>
    </row>
    <row r="4" spans="2:14" x14ac:dyDescent="0.3">
      <c r="B4" s="19"/>
      <c r="C4" s="20"/>
      <c r="D4" s="20"/>
      <c r="E4" s="20"/>
      <c r="F4" s="20"/>
      <c r="G4" s="20"/>
      <c r="H4" s="20"/>
      <c r="I4" s="20"/>
      <c r="J4" s="20"/>
      <c r="K4" s="20"/>
      <c r="L4" s="20"/>
      <c r="M4" s="20"/>
      <c r="N4" s="21"/>
    </row>
    <row r="5" spans="2:14" x14ac:dyDescent="0.3">
      <c r="B5" s="19"/>
      <c r="C5" s="20"/>
      <c r="D5" s="20"/>
      <c r="E5" s="20"/>
      <c r="F5" s="20"/>
      <c r="G5" s="20"/>
      <c r="H5" s="20"/>
      <c r="I5" s="20"/>
      <c r="J5" s="20"/>
      <c r="K5" s="20"/>
      <c r="L5" s="20"/>
      <c r="M5" s="20"/>
      <c r="N5" s="21"/>
    </row>
    <row r="6" spans="2:14" x14ac:dyDescent="0.3">
      <c r="B6" s="19"/>
      <c r="C6" s="20"/>
      <c r="D6" s="20"/>
      <c r="E6" s="20"/>
      <c r="F6" s="20"/>
      <c r="G6" s="20"/>
      <c r="H6" s="20"/>
      <c r="I6" s="20"/>
      <c r="J6" s="20"/>
      <c r="K6" s="20"/>
      <c r="L6" s="20"/>
      <c r="M6" s="20"/>
      <c r="N6" s="21"/>
    </row>
    <row r="7" spans="2:14" x14ac:dyDescent="0.3">
      <c r="B7" s="19"/>
      <c r="C7" s="20"/>
      <c r="D7" s="20"/>
      <c r="E7" s="20"/>
      <c r="F7" s="20"/>
      <c r="G7" s="20"/>
      <c r="H7" s="20"/>
      <c r="I7" s="20"/>
      <c r="J7" s="20"/>
      <c r="K7" s="20"/>
      <c r="L7" s="20"/>
      <c r="M7" s="20"/>
      <c r="N7" s="21"/>
    </row>
    <row r="8" spans="2:14" x14ac:dyDescent="0.3">
      <c r="B8" s="22"/>
      <c r="C8" s="23"/>
      <c r="D8" s="23"/>
      <c r="E8" s="23"/>
      <c r="F8" s="115" t="s">
        <v>134</v>
      </c>
      <c r="G8" s="115"/>
      <c r="H8" s="115"/>
      <c r="I8" s="115"/>
      <c r="J8" s="115"/>
      <c r="K8" s="23"/>
      <c r="L8" s="23"/>
      <c r="M8" s="23"/>
      <c r="N8" s="24"/>
    </row>
    <row r="9" spans="2:14" x14ac:dyDescent="0.3">
      <c r="B9" s="22"/>
      <c r="C9" s="23"/>
      <c r="D9" s="23"/>
      <c r="E9" s="23"/>
      <c r="F9" s="115"/>
      <c r="G9" s="115"/>
      <c r="H9" s="115"/>
      <c r="I9" s="115"/>
      <c r="J9" s="115"/>
      <c r="K9" s="23"/>
      <c r="L9" s="23"/>
      <c r="M9" s="23"/>
      <c r="N9" s="24"/>
    </row>
    <row r="10" spans="2:14" ht="14.4" customHeight="1" x14ac:dyDescent="0.3">
      <c r="B10" s="19"/>
      <c r="C10" s="20"/>
      <c r="D10" s="116" t="s">
        <v>87</v>
      </c>
      <c r="E10" s="116"/>
      <c r="F10" s="116"/>
      <c r="G10" s="116"/>
      <c r="H10" s="116"/>
      <c r="I10" s="116"/>
      <c r="J10" s="116"/>
      <c r="K10" s="116"/>
      <c r="L10" s="116"/>
      <c r="M10" s="20"/>
      <c r="N10" s="21"/>
    </row>
    <row r="11" spans="2:14" x14ac:dyDescent="0.3">
      <c r="B11" s="19"/>
      <c r="C11" s="20"/>
      <c r="D11" s="116"/>
      <c r="E11" s="116"/>
      <c r="F11" s="116"/>
      <c r="G11" s="116"/>
      <c r="H11" s="116"/>
      <c r="I11" s="116"/>
      <c r="J11" s="116"/>
      <c r="K11" s="116"/>
      <c r="L11" s="116"/>
      <c r="M11" s="20"/>
      <c r="N11" s="21"/>
    </row>
    <row r="12" spans="2:14" x14ac:dyDescent="0.3">
      <c r="B12" s="19"/>
      <c r="C12" s="20"/>
      <c r="D12" s="116"/>
      <c r="E12" s="116"/>
      <c r="F12" s="116"/>
      <c r="G12" s="116"/>
      <c r="H12" s="116"/>
      <c r="I12" s="116"/>
      <c r="J12" s="116"/>
      <c r="K12" s="116"/>
      <c r="L12" s="116"/>
      <c r="M12" s="20"/>
      <c r="N12" s="21"/>
    </row>
    <row r="13" spans="2:14" x14ac:dyDescent="0.3">
      <c r="B13" s="19"/>
      <c r="C13" s="20"/>
      <c r="D13" s="116"/>
      <c r="E13" s="116"/>
      <c r="F13" s="116"/>
      <c r="G13" s="116"/>
      <c r="H13" s="116"/>
      <c r="I13" s="116"/>
      <c r="J13" s="116"/>
      <c r="K13" s="116"/>
      <c r="L13" s="116"/>
      <c r="M13" s="20"/>
      <c r="N13" s="21"/>
    </row>
    <row r="14" spans="2:14" x14ac:dyDescent="0.3">
      <c r="B14" s="19"/>
      <c r="C14" s="20"/>
      <c r="D14" s="20"/>
      <c r="E14" s="20"/>
      <c r="F14" s="20"/>
      <c r="G14" s="20"/>
      <c r="H14" s="20"/>
      <c r="I14" s="20"/>
      <c r="J14" s="20"/>
      <c r="K14" s="20"/>
      <c r="L14" s="20"/>
      <c r="M14" s="20"/>
      <c r="N14" s="21"/>
    </row>
    <row r="15" spans="2:14" x14ac:dyDescent="0.3">
      <c r="B15" s="19"/>
      <c r="C15" s="20"/>
      <c r="D15" s="20"/>
      <c r="E15" s="20"/>
      <c r="F15" s="20"/>
      <c r="G15" s="20"/>
      <c r="H15" s="20"/>
      <c r="I15" s="20"/>
      <c r="J15" s="20"/>
      <c r="K15" s="20"/>
      <c r="L15" s="20"/>
      <c r="M15" s="20"/>
      <c r="N15" s="21"/>
    </row>
    <row r="16" spans="2:14" x14ac:dyDescent="0.3">
      <c r="B16" s="19"/>
      <c r="C16" s="20"/>
      <c r="D16" s="20"/>
      <c r="E16" s="20"/>
      <c r="F16" s="20"/>
      <c r="G16" s="20"/>
      <c r="H16" s="20"/>
      <c r="I16" s="20"/>
      <c r="J16" s="20"/>
      <c r="K16" s="20"/>
      <c r="L16" s="20"/>
      <c r="M16" s="20"/>
      <c r="N16" s="21"/>
    </row>
    <row r="17" spans="2:14" x14ac:dyDescent="0.3">
      <c r="B17" s="19"/>
      <c r="C17" s="20"/>
      <c r="D17" s="20"/>
      <c r="E17" s="20"/>
      <c r="F17" s="20"/>
      <c r="G17" s="20"/>
      <c r="H17" s="20"/>
      <c r="I17" s="20"/>
      <c r="J17" s="20"/>
      <c r="K17" s="20"/>
      <c r="L17" s="20"/>
      <c r="M17" s="20"/>
      <c r="N17" s="21"/>
    </row>
    <row r="18" spans="2:14" x14ac:dyDescent="0.3">
      <c r="B18" s="19"/>
      <c r="C18" s="20"/>
      <c r="D18" s="20"/>
      <c r="E18" s="20"/>
      <c r="F18" s="20"/>
      <c r="G18" s="20"/>
      <c r="H18" s="20"/>
      <c r="I18" s="20"/>
      <c r="J18" s="20"/>
      <c r="K18" s="20"/>
      <c r="L18" s="20"/>
      <c r="M18" s="20"/>
      <c r="N18" s="21"/>
    </row>
    <row r="19" spans="2:14" x14ac:dyDescent="0.3">
      <c r="B19" s="25"/>
      <c r="C19" s="26"/>
      <c r="D19" s="102" t="s">
        <v>76</v>
      </c>
      <c r="E19" s="102"/>
      <c r="F19" s="102"/>
      <c r="G19" s="102"/>
      <c r="H19" s="102"/>
      <c r="I19" s="102"/>
      <c r="J19" s="102"/>
      <c r="K19" s="102"/>
      <c r="L19" s="102"/>
      <c r="M19" s="26"/>
      <c r="N19" s="27"/>
    </row>
    <row r="20" spans="2:14" x14ac:dyDescent="0.3">
      <c r="B20" s="25"/>
      <c r="C20" s="26"/>
      <c r="D20" s="102"/>
      <c r="E20" s="102"/>
      <c r="F20" s="102"/>
      <c r="G20" s="102"/>
      <c r="H20" s="102"/>
      <c r="I20" s="102"/>
      <c r="J20" s="102"/>
      <c r="K20" s="102"/>
      <c r="L20" s="102"/>
      <c r="M20" s="26"/>
      <c r="N20" s="27"/>
    </row>
    <row r="21" spans="2:14" x14ac:dyDescent="0.3">
      <c r="B21" s="19"/>
      <c r="C21" s="20"/>
      <c r="D21" s="20"/>
      <c r="E21" s="20"/>
      <c r="F21" s="20"/>
      <c r="G21" s="20"/>
      <c r="H21" s="20"/>
      <c r="I21" s="20"/>
      <c r="J21" s="20"/>
      <c r="K21" s="20"/>
      <c r="L21" s="20"/>
      <c r="M21" s="20"/>
      <c r="N21" s="21"/>
    </row>
    <row r="22" spans="2:14" x14ac:dyDescent="0.3">
      <c r="B22" s="19"/>
      <c r="C22" s="20"/>
      <c r="D22" s="20"/>
      <c r="E22" s="20"/>
      <c r="F22" s="20"/>
      <c r="G22" s="20"/>
      <c r="H22" s="20"/>
      <c r="I22" s="20"/>
      <c r="J22" s="20"/>
      <c r="K22" s="20"/>
      <c r="L22" s="20"/>
      <c r="M22" s="20"/>
      <c r="N22" s="21"/>
    </row>
    <row r="23" spans="2:14" x14ac:dyDescent="0.3">
      <c r="B23" s="19"/>
      <c r="C23" s="20"/>
      <c r="D23" s="20"/>
      <c r="E23" s="20"/>
      <c r="F23" s="20"/>
      <c r="G23" s="20"/>
      <c r="H23" s="20"/>
      <c r="I23" s="20"/>
      <c r="J23" s="20"/>
      <c r="K23" s="20"/>
      <c r="L23" s="20"/>
      <c r="M23" s="20"/>
      <c r="N23" s="21"/>
    </row>
    <row r="24" spans="2:14" x14ac:dyDescent="0.3">
      <c r="B24" s="19"/>
      <c r="C24" s="20"/>
      <c r="D24" s="20"/>
      <c r="E24" s="20"/>
      <c r="F24" s="20"/>
      <c r="G24" s="20"/>
      <c r="H24" s="20"/>
      <c r="I24" s="20"/>
      <c r="J24" s="20"/>
      <c r="K24" s="20"/>
      <c r="L24" s="20"/>
      <c r="M24" s="20"/>
      <c r="N24" s="21"/>
    </row>
    <row r="25" spans="2:14" x14ac:dyDescent="0.3">
      <c r="B25" s="19"/>
      <c r="C25" s="20"/>
      <c r="D25" s="20"/>
      <c r="E25" s="20"/>
      <c r="F25" s="20"/>
      <c r="G25" s="20"/>
      <c r="H25" s="20"/>
      <c r="I25" s="20"/>
      <c r="J25" s="20"/>
      <c r="K25" s="20"/>
      <c r="L25" s="20"/>
      <c r="M25" s="20"/>
      <c r="N25" s="21"/>
    </row>
    <row r="26" spans="2:14" x14ac:dyDescent="0.3">
      <c r="B26" s="19"/>
      <c r="C26" s="20"/>
      <c r="D26" s="20"/>
      <c r="E26" s="20"/>
      <c r="F26" s="20"/>
      <c r="G26" s="20"/>
      <c r="H26" s="20"/>
      <c r="I26" s="20"/>
      <c r="J26" s="20"/>
      <c r="K26" s="20"/>
      <c r="L26" s="20"/>
      <c r="M26" s="20"/>
      <c r="N26" s="21"/>
    </row>
    <row r="27" spans="2:14" x14ac:dyDescent="0.3">
      <c r="B27" s="19"/>
      <c r="C27" s="20"/>
      <c r="D27" s="20"/>
      <c r="E27" s="20"/>
      <c r="F27" s="20"/>
      <c r="G27" s="20"/>
      <c r="H27" s="20"/>
      <c r="I27" s="20"/>
      <c r="J27" s="20"/>
      <c r="K27" s="20"/>
      <c r="L27" s="20"/>
      <c r="M27" s="20"/>
      <c r="N27" s="21"/>
    </row>
    <row r="28" spans="2:14" x14ac:dyDescent="0.3">
      <c r="B28" s="19"/>
      <c r="C28" s="20"/>
      <c r="D28" s="20"/>
      <c r="E28" s="20"/>
      <c r="F28" s="20"/>
      <c r="G28" s="20"/>
      <c r="H28" s="20"/>
      <c r="I28" s="20"/>
      <c r="J28" s="20"/>
      <c r="K28" s="20"/>
      <c r="L28" s="20"/>
      <c r="M28" s="20"/>
      <c r="N28" s="21"/>
    </row>
    <row r="29" spans="2:14" x14ac:dyDescent="0.3">
      <c r="B29" s="19"/>
      <c r="C29" s="20"/>
      <c r="D29" s="20"/>
      <c r="E29" s="20"/>
      <c r="F29" s="20"/>
      <c r="G29" s="20"/>
      <c r="H29" s="20"/>
      <c r="I29" s="20"/>
      <c r="J29" s="20"/>
      <c r="K29" s="20"/>
      <c r="L29" s="20"/>
      <c r="M29" s="20"/>
      <c r="N29" s="21"/>
    </row>
    <row r="30" spans="2:14" x14ac:dyDescent="0.3">
      <c r="B30" s="19"/>
      <c r="C30" s="20"/>
      <c r="D30" s="20"/>
      <c r="E30" s="20"/>
      <c r="F30" s="20"/>
      <c r="G30" s="20"/>
      <c r="H30" s="20"/>
      <c r="I30" s="20"/>
      <c r="J30" s="20"/>
      <c r="K30" s="20"/>
      <c r="L30" s="20"/>
      <c r="M30" s="20"/>
      <c r="N30" s="21"/>
    </row>
    <row r="31" spans="2:14" x14ac:dyDescent="0.3">
      <c r="B31" s="19"/>
      <c r="C31" s="20"/>
      <c r="D31" s="20"/>
      <c r="E31" s="20"/>
      <c r="F31" s="20"/>
      <c r="G31" s="20"/>
      <c r="H31" s="20"/>
      <c r="I31" s="20"/>
      <c r="J31" s="20"/>
      <c r="K31" s="20"/>
      <c r="L31" s="20"/>
      <c r="M31" s="20"/>
      <c r="N31" s="21"/>
    </row>
    <row r="32" spans="2:14" x14ac:dyDescent="0.3">
      <c r="B32" s="19"/>
      <c r="C32" s="20"/>
      <c r="D32" s="20"/>
      <c r="E32" s="20"/>
      <c r="F32" s="20"/>
      <c r="G32" s="20"/>
      <c r="H32" s="20"/>
      <c r="I32" s="20"/>
      <c r="J32" s="20"/>
      <c r="K32" s="20"/>
      <c r="L32" s="20"/>
      <c r="M32" s="20"/>
      <c r="N32" s="21"/>
    </row>
    <row r="33" spans="2:14" x14ac:dyDescent="0.3">
      <c r="B33" s="19"/>
      <c r="C33" s="20"/>
      <c r="D33" s="20"/>
      <c r="E33" s="20"/>
      <c r="F33" s="20"/>
      <c r="G33" s="20"/>
      <c r="H33" s="20"/>
      <c r="I33" s="20"/>
      <c r="J33" s="20"/>
      <c r="K33" s="20"/>
      <c r="L33" s="20"/>
      <c r="M33" s="20"/>
      <c r="N33" s="21"/>
    </row>
    <row r="34" spans="2:14" ht="15" thickBot="1" x14ac:dyDescent="0.35">
      <c r="B34" s="19"/>
      <c r="C34" s="20"/>
      <c r="D34" s="20"/>
      <c r="E34" s="20"/>
      <c r="F34" s="20"/>
      <c r="G34" s="20"/>
      <c r="H34" s="20"/>
      <c r="I34" s="20"/>
      <c r="J34" s="20"/>
      <c r="K34" s="20"/>
      <c r="L34" s="20"/>
      <c r="M34" s="20"/>
      <c r="N34" s="21"/>
    </row>
    <row r="35" spans="2:14" x14ac:dyDescent="0.3">
      <c r="B35" s="19"/>
      <c r="C35" s="107" t="str">
        <f>_xlfn.CONCAT("En ",LOWER($F$8),", le CA généré par les clients porteurs de la Carte Glow est de ",ROUND(VLOOKUP($F$8,'Données sources'!$A$11:$P$35,MATCH("CA porteurs",'Données sources'!$A$11:$P$11,0),FALSE)/1000000,0)," M€, une évolution de ",TEXT(VLOOKUP($F$8,'Données sources'!$A$11:$P$35,MATCH("Evol CA porteurs vs A-1",'Données sources'!$A$11:$P$11,0),FALSE),"+0%;-0%")," par rapport au même mois l'année précédente.")</f>
        <v>En décembre 2024, le CA généré par les clients porteurs de la Carte Glow est de 339 M€, une évolution de -0% par rapport au même mois l'année précédente.</v>
      </c>
      <c r="D35" s="108"/>
      <c r="E35" s="108"/>
      <c r="F35" s="108"/>
      <c r="G35" s="109"/>
      <c r="H35" s="28"/>
      <c r="I35" s="107" t="str">
        <f>_xlfn.CONCAT("Le poids du CA des porteurs de la Carte Glow dans le CA total est un indicateur de l'attrait exercé par le programme de fidélité. En ",LOWER(LEFT($F$8,SEARCH(" ",$F$8)-1)),", ce taux de CA encarté est de ",TEXT(VLOOKUP($F$8,'Données sources'!$A$11:$P$35,MATCH("Taux CA porteurs",'Données sources'!$A$11:$P$11,0),FALSE),"0,0%")," (",TEXT(VLOOKUP($F$8,'Données sources'!$A$11:$P$35,MATCH("Ecart Taux CA porteurs vs A-1",'Données sources'!$A$11:$P$11,0),FALSE),"+0,0 pt;-0,0 pt")," vs ",RIGHT($F$8,4)-1,").")</f>
        <v>Le poids du CA des porteurs de la Carte Glow dans le CA total est un indicateur de l'attrait exercé par le programme de fidélité. En décembre, ce taux de CA encarté est de 80,2% (+0,0 pt vs 2023).</v>
      </c>
      <c r="J35" s="108"/>
      <c r="K35" s="108"/>
      <c r="L35" s="108"/>
      <c r="M35" s="109"/>
      <c r="N35" s="29"/>
    </row>
    <row r="36" spans="2:14" x14ac:dyDescent="0.3">
      <c r="B36" s="19"/>
      <c r="C36" s="110"/>
      <c r="D36" s="100"/>
      <c r="E36" s="100"/>
      <c r="F36" s="100"/>
      <c r="G36" s="111"/>
      <c r="H36" s="28"/>
      <c r="I36" s="110"/>
      <c r="J36" s="100"/>
      <c r="K36" s="100"/>
      <c r="L36" s="100"/>
      <c r="M36" s="111"/>
      <c r="N36" s="29"/>
    </row>
    <row r="37" spans="2:14" ht="18" customHeight="1" thickBot="1" x14ac:dyDescent="0.35">
      <c r="B37" s="19"/>
      <c r="C37" s="112"/>
      <c r="D37" s="113"/>
      <c r="E37" s="113"/>
      <c r="F37" s="113"/>
      <c r="G37" s="114"/>
      <c r="H37" s="28"/>
      <c r="I37" s="112"/>
      <c r="J37" s="113"/>
      <c r="K37" s="113"/>
      <c r="L37" s="113"/>
      <c r="M37" s="114"/>
      <c r="N37" s="29"/>
    </row>
    <row r="38" spans="2:14" ht="25.2" customHeight="1" x14ac:dyDescent="0.3">
      <c r="B38" s="19"/>
      <c r="C38" s="20"/>
      <c r="D38" s="20"/>
      <c r="E38" s="20"/>
      <c r="F38" s="20"/>
      <c r="G38" s="20"/>
      <c r="H38" s="20"/>
      <c r="I38" s="20"/>
      <c r="J38" s="20"/>
      <c r="K38" s="20"/>
      <c r="L38" s="20"/>
      <c r="M38" s="20"/>
      <c r="N38" s="21"/>
    </row>
    <row r="39" spans="2:14" ht="24.6" customHeight="1" x14ac:dyDescent="0.3">
      <c r="B39" s="19"/>
      <c r="C39" s="20"/>
      <c r="D39" s="30"/>
      <c r="E39" s="99" t="s">
        <v>88</v>
      </c>
      <c r="F39" s="99"/>
      <c r="G39" s="30"/>
      <c r="H39" s="20"/>
      <c r="I39" s="20"/>
      <c r="J39" s="118" t="s">
        <v>93</v>
      </c>
      <c r="K39" s="118"/>
      <c r="L39" s="118"/>
      <c r="M39" s="118"/>
      <c r="N39" s="21"/>
    </row>
    <row r="40" spans="2:14" x14ac:dyDescent="0.3">
      <c r="B40" s="19"/>
      <c r="C40" s="20"/>
      <c r="D40" s="30"/>
      <c r="E40" s="117">
        <f>VLOOKUP($F$8,'Données sources'!$A$11:$P$35,MATCH("CA porteurs",'Données sources'!$A$11:$P$11,0),FALSE)</f>
        <v>338861385.7633332</v>
      </c>
      <c r="F40" s="117"/>
      <c r="G40" s="30"/>
      <c r="H40" s="20"/>
      <c r="I40" s="20"/>
      <c r="J40" s="118"/>
      <c r="K40" s="118"/>
      <c r="L40" s="118"/>
      <c r="M40" s="118"/>
      <c r="N40" s="21"/>
    </row>
    <row r="41" spans="2:14" ht="14.4" customHeight="1" x14ac:dyDescent="0.3">
      <c r="B41" s="19"/>
      <c r="C41" s="20"/>
      <c r="D41" s="20"/>
      <c r="E41" s="104">
        <f>VLOOKUP($F$8,'Données sources'!$A$11:$P$35,MATCH("Evol CA porteurs vs A-1",'Données sources'!$A$11:$P$11,0),FALSE)</f>
        <v>-4.4616288744876442E-3</v>
      </c>
      <c r="F41" s="104"/>
      <c r="G41" s="20"/>
      <c r="H41" s="20"/>
      <c r="I41" s="20"/>
      <c r="J41" s="20"/>
      <c r="K41" s="12"/>
      <c r="L41" s="12"/>
      <c r="M41" s="12"/>
      <c r="N41" s="21"/>
    </row>
    <row r="42" spans="2:14" x14ac:dyDescent="0.3">
      <c r="B42" s="19"/>
      <c r="C42" s="20"/>
      <c r="D42" s="20"/>
      <c r="E42" s="20"/>
      <c r="F42" s="20"/>
      <c r="G42" s="20"/>
      <c r="H42" s="20"/>
      <c r="I42" s="20"/>
      <c r="J42" s="100" t="str">
        <f>_xlfn.CONCAT("Le CA de ",LOWER($F$8)," est généré par ",TEXT(ROUND(VLOOKUP($F$8,'Données sources'!$A$11:$P$35,MATCH("Nb porteurs acheteurs",'Données sources'!$A$11:$P$11,0),FALSE)/1000,0),"# ##0k")," porteurs acheteurs.")</f>
        <v>Le CA de décembre 2024 est généré par 4 257k porteurs acheteurs.</v>
      </c>
      <c r="K42" s="100"/>
      <c r="L42" s="100"/>
      <c r="M42" s="100"/>
      <c r="N42" s="21"/>
    </row>
    <row r="43" spans="2:14" ht="24.6" customHeight="1" x14ac:dyDescent="0.3">
      <c r="B43" s="31"/>
      <c r="C43" s="99" t="s">
        <v>89</v>
      </c>
      <c r="D43" s="99"/>
      <c r="E43" s="30"/>
      <c r="F43" s="99" t="s">
        <v>90</v>
      </c>
      <c r="G43" s="99"/>
      <c r="H43" s="30"/>
      <c r="I43" s="20"/>
      <c r="J43" s="100"/>
      <c r="K43" s="100"/>
      <c r="L43" s="100"/>
      <c r="M43" s="100"/>
      <c r="N43" s="21"/>
    </row>
    <row r="44" spans="2:14" ht="14.4" customHeight="1" x14ac:dyDescent="0.3">
      <c r="B44" s="31"/>
      <c r="C44" s="106">
        <f>VLOOKUP($F$8,'Données sources'!$A$11:$P$35,MATCH("Nb porteurs acheteurs",'Données sources'!$A$11:$P$11,0),FALSE)</f>
        <v>4257413.25</v>
      </c>
      <c r="D44" s="106"/>
      <c r="E44" s="30"/>
      <c r="F44" s="103">
        <f>VLOOKUP($F$8,'Données sources'!$A$11:$P$35,MATCH("Dépenses par porteur acheteur",'Données sources'!$A$11:$P$11,0),FALSE)</f>
        <v>79.593256718344918</v>
      </c>
      <c r="G44" s="103"/>
      <c r="H44" s="30"/>
      <c r="I44" s="20"/>
      <c r="J44" s="100" t="str">
        <f>_xlfn.CONCAT("En moyenne, un porteur acheteur sur le mois dépense ",TEXT(VLOOKUP($F$8,'Données sources'!$A$11:$P$35,MATCH("Dépenses par porteur acheteur",'Données sources'!$A$11:$P$11,0),FALSE),"##0,00 €")," via ",TEXT(VLOOKUP($F$8,'Données sources'!$A$11:$P$35,MATCH("Nb passages par porteur acheteur",'Données sources'!$A$11:$P$11,0),FALSE),"##0,0")," visites et un panier moyen de ",TEXT(VLOOKUP($F$8,'Données sources'!$A$11:$P$35,MATCH("PM porteurs",'Données sources'!$A$11:$P$11,0),FALSE),"##0,00 €"),".")</f>
        <v>En moyenne, un porteur acheteur sur le mois dépense 79,59 € via 1,6 visites et un panier moyen de 50,99 €.</v>
      </c>
      <c r="K44" s="100"/>
      <c r="L44" s="100"/>
      <c r="M44" s="100"/>
      <c r="N44" s="21"/>
    </row>
    <row r="45" spans="2:14" x14ac:dyDescent="0.3">
      <c r="B45" s="19"/>
      <c r="C45" s="104">
        <f>VLOOKUP($F$8,'Données sources'!$A$11:$P$35,MATCH("Evol Nb porteurs acheteurs vs A-1",'Données sources'!$A$11:$P$11,0),FALSE)</f>
        <v>3.7580114027686573E-2</v>
      </c>
      <c r="D45" s="104"/>
      <c r="E45" s="20"/>
      <c r="F45" s="104">
        <f>VLOOKUP($F$8,'Données sources'!$A$11:$P$35,MATCH("Evol Dépenses par porteur acheteur vs A-1",'Données sources'!$A$11:$P$11,0),FALSE)</f>
        <v>-4.0519033020955275E-2</v>
      </c>
      <c r="G45" s="104"/>
      <c r="H45" s="20"/>
      <c r="I45" s="20"/>
      <c r="J45" s="100"/>
      <c r="K45" s="100"/>
      <c r="L45" s="100"/>
      <c r="M45" s="100"/>
      <c r="N45" s="21"/>
    </row>
    <row r="46" spans="2:14" x14ac:dyDescent="0.3">
      <c r="B46" s="19"/>
      <c r="C46" s="20"/>
      <c r="D46" s="20"/>
      <c r="E46" s="20"/>
      <c r="F46" s="20"/>
      <c r="G46" s="20"/>
      <c r="H46" s="20"/>
      <c r="I46" s="20"/>
      <c r="J46" s="20"/>
      <c r="K46" s="20"/>
      <c r="L46" s="20"/>
      <c r="M46" s="20"/>
      <c r="N46" s="21"/>
    </row>
    <row r="47" spans="2:14" ht="24.6" customHeight="1" x14ac:dyDescent="0.3">
      <c r="B47" s="19"/>
      <c r="C47" s="30"/>
      <c r="D47" s="99" t="s">
        <v>91</v>
      </c>
      <c r="E47" s="99"/>
      <c r="F47" s="30"/>
      <c r="G47" s="99" t="s">
        <v>92</v>
      </c>
      <c r="H47" s="99"/>
      <c r="I47" s="99"/>
      <c r="J47" s="20"/>
      <c r="K47" s="20"/>
      <c r="L47" s="20"/>
      <c r="M47" s="20"/>
      <c r="N47" s="21"/>
    </row>
    <row r="48" spans="2:14" x14ac:dyDescent="0.3">
      <c r="B48" s="19"/>
      <c r="C48" s="30"/>
      <c r="D48" s="105">
        <f>VLOOKUP($F$8,'Données sources'!$A$11:$P$35,MATCH("Nb passages par porteur acheteur",'Données sources'!$A$11:$P$11,0),FALSE)</f>
        <v>1.5609930143244473</v>
      </c>
      <c r="E48" s="105"/>
      <c r="F48" s="30"/>
      <c r="G48" s="103">
        <f>VLOOKUP($F$8,'Données sources'!$A$11:$P$35,MATCH("PM porteurs",'Données sources'!$A$11:$P$11,0),FALSE)</f>
        <v>50.988861569499463</v>
      </c>
      <c r="H48" s="103"/>
      <c r="I48" s="103"/>
      <c r="J48" s="20"/>
      <c r="K48" s="20"/>
      <c r="L48" s="20"/>
      <c r="M48" s="20"/>
      <c r="N48" s="21"/>
    </row>
    <row r="49" spans="2:14" x14ac:dyDescent="0.3">
      <c r="B49" s="19"/>
      <c r="C49" s="20"/>
      <c r="D49" s="104">
        <f>VLOOKUP($F$8,'Données sources'!$A$11:$P$35,MATCH("Evol Nb passages par porteur acheteur vs A-1",'Données sources'!$A$11:$P$11,0),FALSE)</f>
        <v>-1.3593505043771992E-2</v>
      </c>
      <c r="E49" s="104"/>
      <c r="F49" s="20"/>
      <c r="G49" s="104">
        <f>VLOOKUP($F$8,'Données sources'!$A$11:$P$35,MATCH("Evol PM porteurs vs A-1",'Données sources'!$A$11:$P$11,0),FALSE)</f>
        <v>-2.7296584232627152E-2</v>
      </c>
      <c r="H49" s="104"/>
      <c r="I49" s="104"/>
      <c r="J49" s="20"/>
      <c r="K49" s="20"/>
      <c r="L49" s="20"/>
      <c r="M49" s="20"/>
      <c r="N49" s="21"/>
    </row>
    <row r="50" spans="2:14" x14ac:dyDescent="0.3">
      <c r="B50" s="19"/>
      <c r="C50" s="20"/>
      <c r="D50" s="20"/>
      <c r="E50" s="20"/>
      <c r="F50" s="20"/>
      <c r="G50" s="20"/>
      <c r="H50" s="20"/>
      <c r="I50" s="20"/>
      <c r="J50" s="20"/>
      <c r="K50" s="20"/>
      <c r="L50" s="20"/>
      <c r="M50" s="20"/>
      <c r="N50" s="21"/>
    </row>
    <row r="51" spans="2:14" ht="8.4" customHeight="1" x14ac:dyDescent="0.3">
      <c r="B51" s="19"/>
      <c r="C51" s="20"/>
      <c r="D51" s="20"/>
      <c r="E51" s="20"/>
      <c r="F51" s="20"/>
      <c r="G51" s="20"/>
      <c r="H51" s="20"/>
      <c r="I51" s="20"/>
      <c r="J51" s="20"/>
      <c r="K51" s="20"/>
      <c r="L51" s="20"/>
      <c r="M51" s="20"/>
      <c r="N51" s="21"/>
    </row>
    <row r="52" spans="2:14" ht="14.4" customHeight="1" x14ac:dyDescent="0.3">
      <c r="B52" s="25"/>
      <c r="C52" s="26"/>
      <c r="D52" s="102" t="s">
        <v>94</v>
      </c>
      <c r="E52" s="102"/>
      <c r="F52" s="102"/>
      <c r="G52" s="102"/>
      <c r="H52" s="102"/>
      <c r="I52" s="102"/>
      <c r="J52" s="102"/>
      <c r="K52" s="102"/>
      <c r="L52" s="102"/>
      <c r="M52" s="26"/>
      <c r="N52" s="27"/>
    </row>
    <row r="53" spans="2:14" ht="14.4" customHeight="1" x14ac:dyDescent="0.3">
      <c r="B53" s="25"/>
      <c r="C53" s="26"/>
      <c r="D53" s="102"/>
      <c r="E53" s="102"/>
      <c r="F53" s="102"/>
      <c r="G53" s="102"/>
      <c r="H53" s="102"/>
      <c r="I53" s="102"/>
      <c r="J53" s="102"/>
      <c r="K53" s="102"/>
      <c r="L53" s="102"/>
      <c r="M53" s="26"/>
      <c r="N53" s="27"/>
    </row>
    <row r="54" spans="2:14" x14ac:dyDescent="0.3">
      <c r="B54" s="19"/>
      <c r="C54" s="20"/>
      <c r="D54" s="20"/>
      <c r="E54" s="20"/>
      <c r="F54" s="20"/>
      <c r="G54" s="20"/>
      <c r="H54" s="20"/>
      <c r="I54" s="20"/>
      <c r="J54" s="20"/>
      <c r="K54" s="20"/>
      <c r="L54" s="20"/>
      <c r="M54" s="20"/>
      <c r="N54" s="21"/>
    </row>
    <row r="55" spans="2:14" x14ac:dyDescent="0.3">
      <c r="B55" s="19"/>
      <c r="C55" s="32" t="s">
        <v>100</v>
      </c>
      <c r="D55" s="20"/>
      <c r="E55" s="20"/>
      <c r="F55" s="20"/>
      <c r="G55" s="20"/>
      <c r="H55" s="20"/>
      <c r="I55" s="20"/>
      <c r="J55" s="20"/>
      <c r="K55" s="20"/>
      <c r="L55" s="20"/>
      <c r="M55" s="20"/>
      <c r="N55" s="21"/>
    </row>
    <row r="56" spans="2:14" x14ac:dyDescent="0.3">
      <c r="B56" s="19"/>
      <c r="C56" s="33" t="s">
        <v>101</v>
      </c>
      <c r="D56" s="20"/>
      <c r="E56" s="20"/>
      <c r="F56" s="20"/>
      <c r="G56" s="20"/>
      <c r="H56" s="20"/>
      <c r="I56" s="20"/>
      <c r="J56" s="20"/>
      <c r="K56" s="20"/>
      <c r="L56" s="20"/>
      <c r="M56" s="20"/>
      <c r="N56" s="21"/>
    </row>
    <row r="57" spans="2:14" x14ac:dyDescent="0.3">
      <c r="B57" s="19"/>
      <c r="C57" s="33" t="s">
        <v>102</v>
      </c>
      <c r="D57" s="20"/>
      <c r="E57" s="20"/>
      <c r="F57" s="20"/>
      <c r="G57" s="20"/>
      <c r="H57" s="20"/>
      <c r="I57" s="20"/>
      <c r="J57" s="20"/>
      <c r="K57" s="20"/>
      <c r="L57" s="20"/>
      <c r="M57" s="20"/>
      <c r="N57" s="21"/>
    </row>
    <row r="58" spans="2:14" x14ac:dyDescent="0.3">
      <c r="B58" s="19"/>
      <c r="C58" s="20" t="str">
        <f>_xlfn.CONCAT("Quels sont leurs comportements d'achat en ",LOWER($F$8)," ?")</f>
        <v>Quels sont leurs comportements d'achat en décembre 2024 ?</v>
      </c>
      <c r="D58" s="20"/>
      <c r="E58" s="20"/>
      <c r="F58" s="20"/>
      <c r="G58" s="20"/>
      <c r="H58" s="20"/>
      <c r="I58" s="20"/>
      <c r="J58" s="20"/>
      <c r="K58" s="20"/>
      <c r="L58" s="20"/>
      <c r="M58" s="20"/>
      <c r="N58" s="21"/>
    </row>
    <row r="59" spans="2:14" x14ac:dyDescent="0.3">
      <c r="B59" s="19"/>
      <c r="C59" s="20"/>
      <c r="D59" s="20"/>
      <c r="E59" s="20"/>
      <c r="F59" s="20"/>
      <c r="G59" s="20"/>
      <c r="H59" s="20"/>
      <c r="I59" s="20"/>
      <c r="J59" s="20"/>
      <c r="K59" s="20"/>
      <c r="L59" s="20"/>
      <c r="M59" s="20"/>
      <c r="N59" s="21"/>
    </row>
    <row r="60" spans="2:14" ht="17.399999999999999" customHeight="1" x14ac:dyDescent="0.3">
      <c r="B60" s="19"/>
      <c r="C60" s="101" t="s">
        <v>107</v>
      </c>
      <c r="D60" s="101"/>
      <c r="E60" s="101"/>
      <c r="F60" s="101"/>
      <c r="G60" s="101"/>
      <c r="H60" s="34"/>
      <c r="I60" s="101" t="s">
        <v>108</v>
      </c>
      <c r="J60" s="101"/>
      <c r="K60" s="101"/>
      <c r="L60" s="101"/>
      <c r="M60" s="101"/>
      <c r="N60" s="21"/>
    </row>
    <row r="61" spans="2:14" ht="34.200000000000003" customHeight="1" x14ac:dyDescent="0.3">
      <c r="B61" s="19"/>
      <c r="C61" s="13" t="s">
        <v>99</v>
      </c>
      <c r="D61" s="14" t="s">
        <v>95</v>
      </c>
      <c r="E61" s="14" t="s">
        <v>96</v>
      </c>
      <c r="F61" s="14" t="s">
        <v>97</v>
      </c>
      <c r="G61" s="15" t="s">
        <v>98</v>
      </c>
      <c r="H61" s="20"/>
      <c r="I61" s="13" t="s">
        <v>99</v>
      </c>
      <c r="J61" s="14" t="s">
        <v>95</v>
      </c>
      <c r="K61" s="14" t="s">
        <v>96</v>
      </c>
      <c r="L61" s="14" t="s">
        <v>97</v>
      </c>
      <c r="M61" s="15" t="s">
        <v>98</v>
      </c>
      <c r="N61" s="21"/>
    </row>
    <row r="62" spans="2:14" s="11" customFormat="1" ht="30.6" customHeight="1" x14ac:dyDescent="0.3">
      <c r="B62" s="35"/>
      <c r="C62" s="55" t="s">
        <v>60</v>
      </c>
      <c r="D62" s="58">
        <f>VLOOKUP($C62,'Données sources'!$B$41:$H$53,MATCH('Newsletter Carte Glow'!D$61,'Données sources'!$B$41:$H$41,0),FALSE)</f>
        <v>0.28282684327155699</v>
      </c>
      <c r="E62" s="58">
        <f>VLOOKUP($C62,'Données sources'!$B$41:$H$53,MATCH('Newsletter Carte Glow'!E$61,'Données sources'!$B$41:$H$41,0),FALSE)</f>
        <v>0.58121960268658179</v>
      </c>
      <c r="F62" s="64">
        <f>VLOOKUP($C62,'Données sources'!$B$41:$H$53,MATCH('Newsletter Carte Glow'!F$61,'Données sources'!$B$41:$H$41,0),FALSE)</f>
        <v>2.616930647221881</v>
      </c>
      <c r="G62" s="59">
        <f>VLOOKUP($C62,'Données sources'!$B$41:$H$53,MATCH('Newsletter Carte Glow'!G$61,'Données sources'!$B$41:$H$41,0),FALSE)</f>
        <v>62.503406688581073</v>
      </c>
      <c r="H62" s="20"/>
      <c r="I62" s="55" t="s">
        <v>68</v>
      </c>
      <c r="J62" s="58">
        <f>VLOOKUP($I62,'Données sources'!$B$41:$H$53,MATCH('Newsletter Carte Glow'!J$61,'Données sources'!$B$41:$H$41,0),FALSE)</f>
        <v>0.18401455390782184</v>
      </c>
      <c r="K62" s="58">
        <f>VLOOKUP($I62,'Données sources'!$B$41:$H$53,MATCH('Newsletter Carte Glow'!K$61,'Données sources'!$B$41:$H$41,0),FALSE)</f>
        <v>0.2106658614555553</v>
      </c>
      <c r="L62" s="64">
        <f>VLOOKUP($I62,'Données sources'!$B$41:$H$53,MATCH('Newsletter Carte Glow'!L$61,'Données sources'!$B$41:$H$41,0),FALSE)</f>
        <v>1.6067044098728009</v>
      </c>
      <c r="M62" s="59">
        <f>VLOOKUP($I62,'Données sources'!$B$41:$H$53,MATCH('Newsletter Carte Glow'!M$61,'Données sources'!$B$41:$H$41,0),FALSE)</f>
        <v>56.712955425791598</v>
      </c>
      <c r="N62" s="36"/>
    </row>
    <row r="63" spans="2:14" s="11" customFormat="1" ht="30.6" customHeight="1" x14ac:dyDescent="0.3">
      <c r="B63" s="35"/>
      <c r="C63" s="56" t="s">
        <v>63</v>
      </c>
      <c r="D63" s="60">
        <f>VLOOKUP($C63,'Données sources'!$B$41:$H$53,MATCH('Newsletter Carte Glow'!D$61,'Données sources'!$B$41:$H$41,0),FALSE)</f>
        <v>0.34956226060507517</v>
      </c>
      <c r="E63" s="60">
        <f>VLOOKUP($C63,'Données sources'!$B$41:$H$53,MATCH('Newsletter Carte Glow'!E$61,'Données sources'!$B$41:$H$41,0),FALSE)</f>
        <v>0.2922330320212212</v>
      </c>
      <c r="F63" s="65">
        <f>VLOOKUP($C63,'Données sources'!$B$41:$H$53,MATCH('Newsletter Carte Glow'!F$61,'Données sources'!$B$41:$H$41,0),FALSE)</f>
        <v>1.5176744908722</v>
      </c>
      <c r="G63" s="61">
        <f>VLOOKUP($C63,'Données sources'!$B$41:$H$53,MATCH('Newsletter Carte Glow'!G$61,'Données sources'!$B$41:$H$41,0),FALSE)</f>
        <v>43.84321622293551</v>
      </c>
      <c r="H63" s="20"/>
      <c r="I63" s="55" t="s">
        <v>69</v>
      </c>
      <c r="J63" s="58">
        <f>VLOOKUP($I63,'Données sources'!$B$41:$H$53,MATCH('Newsletter Carte Glow'!J$61,'Données sources'!$B$41:$H$41,0),FALSE)</f>
        <v>0.16846831817418711</v>
      </c>
      <c r="K63" s="58">
        <f>VLOOKUP($I63,'Données sources'!$B$41:$H$53,MATCH('Newsletter Carte Glow'!K$61,'Données sources'!$B$41:$H$41,0),FALSE)</f>
        <v>0.18225725181593866</v>
      </c>
      <c r="L63" s="64">
        <f>VLOOKUP($I63,'Données sources'!$B$41:$H$53,MATCH('Newsletter Carte Glow'!L$61,'Données sources'!$B$41:$H$41,0),FALSE)</f>
        <v>1.6919247864152231</v>
      </c>
      <c r="M63" s="59">
        <f>VLOOKUP($I63,'Données sources'!$B$41:$H$53,MATCH('Newsletter Carte Glow'!M$61,'Données sources'!$B$41:$H$41,0),FALSE)</f>
        <v>50.893439136110857</v>
      </c>
      <c r="N63" s="36"/>
    </row>
    <row r="64" spans="2:14" s="11" customFormat="1" ht="30.6" customHeight="1" x14ac:dyDescent="0.3">
      <c r="B64" s="35"/>
      <c r="C64" s="55" t="s">
        <v>65</v>
      </c>
      <c r="D64" s="58">
        <f>VLOOKUP($C64,'Données sources'!$B$41:$H$53,MATCH('Newsletter Carte Glow'!D$61,'Données sources'!$B$41:$H$41,0),FALSE)</f>
        <v>0.28776012053798161</v>
      </c>
      <c r="E64" s="58">
        <f>VLOOKUP($C64,'Données sources'!$B$41:$H$53,MATCH('Newsletter Carte Glow'!E$61,'Données sources'!$B$41:$H$41,0),FALSE)</f>
        <v>9.1790037900558827E-2</v>
      </c>
      <c r="F64" s="64">
        <f>VLOOKUP($C64,'Données sources'!$B$41:$H$53,MATCH('Newsletter Carte Glow'!F$61,'Données sources'!$B$41:$H$41,0),FALSE)</f>
        <v>0.77241807138316743</v>
      </c>
      <c r="G64" s="59">
        <f>VLOOKUP($C64,'Données sources'!$B$41:$H$53,MATCH('Newsletter Carte Glow'!G$61,'Données sources'!$B$41:$H$41,0),FALSE)</f>
        <v>32.869174090935481</v>
      </c>
      <c r="H64" s="28"/>
      <c r="I64" s="56" t="s">
        <v>66</v>
      </c>
      <c r="J64" s="60">
        <f>VLOOKUP($I64,'Données sources'!$B$41:$H$53,MATCH('Newsletter Carte Glow'!J$61,'Données sources'!$B$41:$H$41,0),FALSE)</f>
        <v>0.19069660432893143</v>
      </c>
      <c r="K64" s="60">
        <f>VLOOKUP($I64,'Données sources'!$B$41:$H$53,MATCH('Newsletter Carte Glow'!K$61,'Données sources'!$B$41:$H$41,0),FALSE)</f>
        <v>0.18454622026410833</v>
      </c>
      <c r="L64" s="65">
        <f>VLOOKUP($I64,'Données sources'!$B$41:$H$53,MATCH('Newsletter Carte Glow'!L$61,'Données sources'!$B$41:$H$41,0),FALSE)</f>
        <v>1.609742035922568</v>
      </c>
      <c r="M64" s="61">
        <f>VLOOKUP($I64,'Données sources'!$B$41:$H$53,MATCH('Newsletter Carte Glow'!M$61,'Données sources'!$B$41:$H$41,0),FALSE)</f>
        <v>47.850026752537481</v>
      </c>
      <c r="N64" s="36"/>
    </row>
    <row r="65" spans="1:14" s="11" customFormat="1" ht="30.6" customHeight="1" x14ac:dyDescent="0.3">
      <c r="B65" s="35"/>
      <c r="C65" s="55" t="s">
        <v>64</v>
      </c>
      <c r="D65" s="58">
        <f>VLOOKUP($C65,'Données sources'!$B$41:$H$53,MATCH('Newsletter Carte Glow'!D$61,'Données sources'!$B$41:$H$41,0),FALSE)</f>
        <v>4.2392466834174483E-2</v>
      </c>
      <c r="E65" s="58">
        <f>VLOOKUP($C65,'Données sources'!$B$41:$H$53,MATCH('Newsletter Carte Glow'!E$61,'Données sources'!$B$41:$H$41,0),FALSE)</f>
        <v>2.5099289186879231E-2</v>
      </c>
      <c r="F65" s="64">
        <f>VLOOKUP($C65,'Données sources'!$B$41:$H$53,MATCH('Newsletter Carte Glow'!F$61,'Données sources'!$B$41:$H$41,0),FALSE)</f>
        <v>1.103136854852051</v>
      </c>
      <c r="G65" s="59">
        <f>VLOOKUP($C65,'Données sources'!$B$41:$H$53,MATCH('Newsletter Carte Glow'!G$61,'Données sources'!$B$41:$H$41,0),FALSE)</f>
        <v>42.718856032145204</v>
      </c>
      <c r="H65" s="28"/>
      <c r="I65" s="55" t="s">
        <v>62</v>
      </c>
      <c r="J65" s="58">
        <f>VLOOKUP($I65,'Données sources'!$B$41:$H$53,MATCH('Newsletter Carte Glow'!J$61,'Données sources'!$B$41:$H$41,0),FALSE)</f>
        <v>0.17306389037991554</v>
      </c>
      <c r="K65" s="58">
        <f>VLOOKUP($I65,'Données sources'!$B$41:$H$53,MATCH('Newsletter Carte Glow'!K$61,'Données sources'!$B$41:$H$41,0),FALSE)</f>
        <v>0.18022272319561611</v>
      </c>
      <c r="L65" s="64">
        <f>VLOOKUP($I65,'Données sources'!$B$41:$H$53,MATCH('Newsletter Carte Glow'!L$61,'Données sources'!$B$41:$H$41,0),FALSE)</f>
        <v>1.6709907016969472</v>
      </c>
      <c r="M65" s="59">
        <f>VLOOKUP($I65,'Données sources'!$B$41:$H$53,MATCH('Newsletter Carte Glow'!M$61,'Données sources'!$B$41:$H$41,0),FALSE)</f>
        <v>49.602701193725657</v>
      </c>
      <c r="N65" s="36"/>
    </row>
    <row r="66" spans="1:14" s="11" customFormat="1" ht="30.6" customHeight="1" x14ac:dyDescent="0.3">
      <c r="B66" s="35"/>
      <c r="C66" s="57" t="s">
        <v>61</v>
      </c>
      <c r="D66" s="62">
        <f>VLOOKUP($C66,'Données sources'!$B$41:$H$53,MATCH('Newsletter Carte Glow'!D$61,'Données sources'!$B$41:$H$41,0),FALSE)</f>
        <v>2.7381767555686543E-2</v>
      </c>
      <c r="E66" s="62">
        <f>VLOOKUP($C66,'Données sources'!$B$41:$H$53,MATCH('Newsletter Carte Glow'!E$61,'Données sources'!$B$41:$H$41,0),FALSE)</f>
        <v>2.4243691092018182E-3</v>
      </c>
      <c r="F66" s="66">
        <f>VLOOKUP($C66,'Données sources'!$B$41:$H$53,MATCH('Newsletter Carte Glow'!F$61,'Données sources'!$B$41:$H$41,0),FALSE)</f>
        <v>0.38830149938401665</v>
      </c>
      <c r="G66" s="63">
        <f>VLOOKUP($C66,'Données sources'!$B$41:$H$53,MATCH('Newsletter Carte Glow'!G$61,'Données sources'!$B$41:$H$41,0),FALSE)</f>
        <v>18.148656041555753</v>
      </c>
      <c r="H66" s="28"/>
      <c r="I66" s="57" t="s">
        <v>67</v>
      </c>
      <c r="J66" s="62">
        <f>VLOOKUP($I66,'Données sources'!$B$41:$H$53,MATCH('Newsletter Carte Glow'!J$61,'Données sources'!$B$41:$H$41,0),FALSE)</f>
        <v>0.12260490569009246</v>
      </c>
      <c r="K66" s="62">
        <f>VLOOKUP($I66,'Données sources'!$B$41:$H$53,MATCH('Newsletter Carte Glow'!K$61,'Données sources'!$B$41:$H$41,0),FALSE)</f>
        <v>0.12912145859134203</v>
      </c>
      <c r="L66" s="66">
        <f>VLOOKUP($I66,'Données sources'!$B$41:$H$53,MATCH('Newsletter Carte Glow'!L$61,'Données sources'!$B$41:$H$41,0),FALSE)</f>
        <v>1.5669669177779404</v>
      </c>
      <c r="M66" s="63">
        <f>VLOOKUP($I66,'Données sources'!$B$41:$H$53,MATCH('Newsletter Carte Glow'!M$61,'Données sources'!$B$41:$H$41,0),FALSE)</f>
        <v>53.494240168774688</v>
      </c>
      <c r="N66" s="36"/>
    </row>
    <row r="67" spans="1:14" ht="22.8" customHeight="1" x14ac:dyDescent="0.3">
      <c r="A67" s="10" t="s">
        <v>109</v>
      </c>
      <c r="B67" s="19"/>
      <c r="C67" s="20"/>
      <c r="D67" s="20"/>
      <c r="E67" s="20"/>
      <c r="F67" s="20"/>
      <c r="G67" s="20"/>
      <c r="H67" s="20"/>
      <c r="I67" s="20"/>
      <c r="J67" s="20"/>
      <c r="K67" s="20"/>
      <c r="L67" s="20"/>
      <c r="M67" s="20"/>
      <c r="N67" s="21"/>
    </row>
    <row r="68" spans="1:14" ht="14.4" customHeight="1" x14ac:dyDescent="0.3">
      <c r="B68" s="25"/>
      <c r="C68" s="26"/>
      <c r="D68" s="102" t="s">
        <v>110</v>
      </c>
      <c r="E68" s="102"/>
      <c r="F68" s="102"/>
      <c r="G68" s="102"/>
      <c r="H68" s="102"/>
      <c r="I68" s="102"/>
      <c r="J68" s="102"/>
      <c r="K68" s="102"/>
      <c r="L68" s="102"/>
      <c r="M68" s="26"/>
      <c r="N68" s="27"/>
    </row>
    <row r="69" spans="1:14" ht="14.4" customHeight="1" x14ac:dyDescent="0.3">
      <c r="B69" s="25"/>
      <c r="C69" s="26"/>
      <c r="D69" s="102"/>
      <c r="E69" s="102"/>
      <c r="F69" s="102"/>
      <c r="G69" s="102"/>
      <c r="H69" s="102"/>
      <c r="I69" s="102"/>
      <c r="J69" s="102"/>
      <c r="K69" s="102"/>
      <c r="L69" s="102"/>
      <c r="M69" s="26"/>
      <c r="N69" s="27"/>
    </row>
    <row r="70" spans="1:14" x14ac:dyDescent="0.3">
      <c r="B70" s="19"/>
      <c r="C70" s="20"/>
      <c r="D70" s="20"/>
      <c r="E70" s="20"/>
      <c r="F70" s="20"/>
      <c r="G70" s="20"/>
      <c r="H70" s="20"/>
      <c r="I70" s="20"/>
      <c r="J70" s="20"/>
      <c r="K70" s="20"/>
      <c r="L70" s="20"/>
      <c r="M70" s="20"/>
      <c r="N70" s="21"/>
    </row>
    <row r="71" spans="1:14" x14ac:dyDescent="0.3">
      <c r="B71" s="19"/>
      <c r="C71" s="20"/>
      <c r="D71" s="20"/>
      <c r="E71" s="20"/>
      <c r="F71" s="20"/>
      <c r="G71" s="20"/>
      <c r="H71" s="20"/>
      <c r="I71" s="20"/>
      <c r="J71" s="20"/>
      <c r="K71" s="20"/>
      <c r="L71" s="20"/>
      <c r="M71" s="20"/>
      <c r="N71" s="21"/>
    </row>
    <row r="72" spans="1:14" x14ac:dyDescent="0.3">
      <c r="B72" s="19"/>
      <c r="C72" s="20"/>
      <c r="D72" s="20"/>
      <c r="E72" s="20"/>
      <c r="F72" s="20"/>
      <c r="G72" s="20"/>
      <c r="H72" s="20"/>
      <c r="I72" s="20"/>
      <c r="J72" s="20"/>
      <c r="K72" s="20"/>
      <c r="L72" s="20"/>
      <c r="M72" s="20"/>
      <c r="N72" s="21"/>
    </row>
    <row r="73" spans="1:14" x14ac:dyDescent="0.3">
      <c r="B73" s="19"/>
      <c r="C73" s="20"/>
      <c r="D73" s="20"/>
      <c r="E73" s="20"/>
      <c r="F73" s="20"/>
      <c r="G73" s="20"/>
      <c r="H73" s="20"/>
      <c r="I73" s="20"/>
      <c r="J73" s="20"/>
      <c r="K73" s="20"/>
      <c r="L73" s="20"/>
      <c r="M73" s="20"/>
      <c r="N73" s="21"/>
    </row>
    <row r="74" spans="1:14" x14ac:dyDescent="0.3">
      <c r="B74" s="19"/>
      <c r="C74" s="20"/>
      <c r="D74" s="20"/>
      <c r="E74" s="20"/>
      <c r="F74" s="20"/>
      <c r="G74" s="20"/>
      <c r="H74" s="20"/>
      <c r="I74" s="20"/>
      <c r="J74" s="20"/>
      <c r="K74" s="20"/>
      <c r="L74" s="20"/>
      <c r="M74" s="20"/>
      <c r="N74" s="21"/>
    </row>
    <row r="75" spans="1:14" x14ac:dyDescent="0.3">
      <c r="B75" s="19"/>
      <c r="C75" s="20"/>
      <c r="D75" s="20"/>
      <c r="E75" s="20"/>
      <c r="F75" s="20"/>
      <c r="G75" s="20"/>
      <c r="H75" s="20"/>
      <c r="I75" s="20"/>
      <c r="J75" s="20"/>
      <c r="K75" s="20"/>
      <c r="L75" s="20"/>
      <c r="M75" s="20"/>
      <c r="N75" s="21"/>
    </row>
    <row r="76" spans="1:14" x14ac:dyDescent="0.3">
      <c r="B76" s="19"/>
      <c r="C76" s="20"/>
      <c r="D76" s="20"/>
      <c r="E76" s="20"/>
      <c r="F76" s="20"/>
      <c r="G76" s="20"/>
      <c r="H76" s="20"/>
      <c r="I76" s="20"/>
      <c r="J76" s="20"/>
      <c r="K76" s="20"/>
      <c r="L76" s="20"/>
      <c r="M76" s="20"/>
      <c r="N76" s="21"/>
    </row>
    <row r="77" spans="1:14" x14ac:dyDescent="0.3">
      <c r="B77" s="19"/>
      <c r="C77" s="20"/>
      <c r="D77" s="20"/>
      <c r="E77" s="20"/>
      <c r="F77" s="20"/>
      <c r="G77" s="20"/>
      <c r="H77" s="20"/>
      <c r="I77" s="20"/>
      <c r="J77" s="20"/>
      <c r="K77" s="20"/>
      <c r="L77" s="20"/>
      <c r="M77" s="20"/>
      <c r="N77" s="21"/>
    </row>
    <row r="78" spans="1:14" x14ac:dyDescent="0.3">
      <c r="B78" s="19"/>
      <c r="C78" s="20"/>
      <c r="D78" s="20"/>
      <c r="E78" s="20"/>
      <c r="F78" s="20"/>
      <c r="G78" s="20"/>
      <c r="H78" s="20"/>
      <c r="I78" s="20"/>
      <c r="J78" s="20"/>
      <c r="K78" s="20"/>
      <c r="L78" s="20"/>
      <c r="M78" s="20"/>
      <c r="N78" s="21"/>
    </row>
    <row r="79" spans="1:14" x14ac:dyDescent="0.3">
      <c r="B79" s="19"/>
      <c r="C79" s="20"/>
      <c r="D79" s="20"/>
      <c r="E79" s="20"/>
      <c r="F79" s="20"/>
      <c r="G79" s="20"/>
      <c r="H79" s="20"/>
      <c r="I79" s="20"/>
      <c r="J79" s="20"/>
      <c r="K79" s="20"/>
      <c r="L79" s="20"/>
      <c r="M79" s="20"/>
      <c r="N79" s="21"/>
    </row>
    <row r="80" spans="1:14" x14ac:dyDescent="0.3">
      <c r="B80" s="19"/>
      <c r="C80" s="20"/>
      <c r="D80" s="20"/>
      <c r="E80" s="20"/>
      <c r="F80" s="20"/>
      <c r="G80" s="20"/>
      <c r="H80" s="20"/>
      <c r="I80" s="20"/>
      <c r="J80" s="20"/>
      <c r="K80" s="20"/>
      <c r="L80" s="20"/>
      <c r="M80" s="20"/>
      <c r="N80" s="21"/>
    </row>
    <row r="81" spans="2:14" x14ac:dyDescent="0.3">
      <c r="B81" s="19"/>
      <c r="C81" s="20"/>
      <c r="D81" s="20"/>
      <c r="E81" s="20"/>
      <c r="F81" s="20"/>
      <c r="G81" s="20"/>
      <c r="H81" s="20"/>
      <c r="I81" s="20"/>
      <c r="J81" s="20"/>
      <c r="K81" s="20"/>
      <c r="L81" s="20"/>
      <c r="M81" s="20"/>
      <c r="N81" s="21"/>
    </row>
    <row r="82" spans="2:14" x14ac:dyDescent="0.3">
      <c r="B82" s="19"/>
      <c r="C82" s="20"/>
      <c r="D82" s="20"/>
      <c r="E82" s="20"/>
      <c r="F82" s="20"/>
      <c r="G82" s="20"/>
      <c r="H82" s="20"/>
      <c r="I82" s="20"/>
      <c r="J82" s="20"/>
      <c r="K82" s="20"/>
      <c r="L82" s="20"/>
      <c r="M82" s="20"/>
      <c r="N82" s="21"/>
    </row>
    <row r="83" spans="2:14" ht="15" thickBot="1" x14ac:dyDescent="0.35">
      <c r="B83" s="19"/>
      <c r="C83" s="20"/>
      <c r="D83" s="20"/>
      <c r="E83" s="20"/>
      <c r="F83" s="20"/>
      <c r="G83" s="20"/>
      <c r="H83" s="20"/>
      <c r="I83" s="20"/>
      <c r="J83" s="20"/>
      <c r="K83" s="20"/>
      <c r="L83" s="20"/>
      <c r="M83" s="20"/>
      <c r="N83" s="21"/>
    </row>
    <row r="84" spans="2:14" ht="14.4" customHeight="1" x14ac:dyDescent="0.3">
      <c r="B84" s="19"/>
      <c r="C84" s="107" t="str">
        <f>_xlfn.CONCAT("Nous avons distribué ",ROUND(VLOOKUP($F$8,'Données sources'!$A$11:$T$35,MATCH("Montant cagnotté",'Données sources'!$A$11:$T$11,0),FALSE)/1000000,1),"M d'Euros Glow aux porteurs de la Carte, ",TEXT(VLOOKUP($F$8,'Données sources'!$A$11:$T$35,MATCH("Evol Montant cagnotté vs A-1",'Données sources'!$A$11:$T$11,0),FALSE),"+0%;-0%")," par rapport à ",LOWER(LEFT($F$8,SEARCH(" ",$F$8)-1))," ",RIGHT($F$8,4)-1,".")</f>
        <v>Nous avons distribué 10,1M d'Euros Glow aux porteurs de la Carte, -20% par rapport à décembre 2023.</v>
      </c>
      <c r="D84" s="108"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E84" s="108"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F84" s="108"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G84" s="109"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H84" s="40"/>
      <c r="I84" s="107" t="str">
        <f>_xlfn.CONCAT("Le taux de générosité correspond au poids des Euros Glow que les porteurs ont cagnotté sur leur Carte, rapporté au montant total de leurs dépenses. En ",LOWER($F$8),", il est de ",TEXT(VLOOKUP($F$8,'Données sources'!$A$11:$T$35,MATCH("Taux de générosité",'Données sources'!$A$11:$T$11,0),FALSE),"0,0%")," (",TEXT(VLOOKUP($F$8,'Données sources'!$A$11:$T$35,MATCH("Ecart Taux de générosité vs A-1",'Données sources'!$A$11:$T$11,0),FALSE),"+0,0 pt;-0,0 pt")," vs ",RIGHT($F$8,4)-1,").")</f>
        <v>Le taux de générosité correspond au poids des Euros Glow que les porteurs ont cagnotté sur leur Carte, rapporté au montant total de leurs dépenses. En décembre 2024, il est de 3,0% (-0,7 pt vs 2023).</v>
      </c>
      <c r="J84" s="108"/>
      <c r="K84" s="108"/>
      <c r="L84" s="108"/>
      <c r="M84" s="109"/>
      <c r="N84" s="21"/>
    </row>
    <row r="85" spans="2:14" x14ac:dyDescent="0.3">
      <c r="B85" s="19"/>
      <c r="C85" s="110"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D85" s="100"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E85" s="100"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F85" s="100"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G85" s="111"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H85" s="40"/>
      <c r="I85" s="110"/>
      <c r="J85" s="100"/>
      <c r="K85" s="100"/>
      <c r="L85" s="100"/>
      <c r="M85" s="111"/>
      <c r="N85" s="21"/>
    </row>
    <row r="86" spans="2:14" ht="15" thickBot="1" x14ac:dyDescent="0.35">
      <c r="B86" s="19"/>
      <c r="C86" s="112"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D86" s="113"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E86" s="113"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F86" s="113"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G86" s="114" t="e">
        <f>_xlfn.CONCAT("En ",LOWER($F$8),", nous avons distribué ",ROUND(VLOOKUP($F$8,'Données sources'!$A$11:$P$35,MATCH("Montant cagnotté",'Données sources'!$A$11:$P$11,0),FALSE)/1000000,0)," M d'euros Carte Glow, ",TEXT(VLOOKUP($F$8,'Données sources'!$A$11:$P$35,MATCH("Evol CA porteurs vs A-1",'Données sources'!$A$11:$P$11,0),FALSE),"+0%;-0%")," par rapport à")</f>
        <v>#N/A</v>
      </c>
      <c r="H86" s="40"/>
      <c r="I86" s="112"/>
      <c r="J86" s="113"/>
      <c r="K86" s="113"/>
      <c r="L86" s="113"/>
      <c r="M86" s="114"/>
      <c r="N86" s="21"/>
    </row>
    <row r="87" spans="2:14" x14ac:dyDescent="0.3">
      <c r="B87" s="19"/>
      <c r="C87" s="20"/>
      <c r="D87" s="20"/>
      <c r="E87" s="20"/>
      <c r="F87" s="20"/>
      <c r="G87" s="20"/>
      <c r="H87" s="20"/>
      <c r="I87" s="20"/>
      <c r="J87" s="20"/>
      <c r="K87" s="20"/>
      <c r="L87" s="20"/>
      <c r="M87" s="20"/>
      <c r="N87" s="21"/>
    </row>
    <row r="88" spans="2:14" x14ac:dyDescent="0.3">
      <c r="B88" s="19"/>
      <c r="C88" s="20"/>
      <c r="D88" s="20"/>
      <c r="E88" s="20"/>
      <c r="F88" s="20"/>
      <c r="G88" s="20"/>
      <c r="H88" s="20"/>
      <c r="I88" s="20"/>
      <c r="J88" s="20"/>
      <c r="K88" s="20"/>
      <c r="L88" s="20"/>
      <c r="M88" s="20"/>
      <c r="N88" s="21"/>
    </row>
    <row r="89" spans="2:14" x14ac:dyDescent="0.3">
      <c r="B89" s="19"/>
      <c r="C89" s="20"/>
      <c r="D89" s="20"/>
      <c r="E89" s="20"/>
      <c r="F89" s="20"/>
      <c r="G89" s="20"/>
      <c r="H89" s="20"/>
      <c r="I89" s="20"/>
      <c r="J89" s="20"/>
      <c r="K89" s="20"/>
      <c r="L89" s="20"/>
      <c r="M89" s="20"/>
      <c r="N89" s="21"/>
    </row>
    <row r="90" spans="2:14" x14ac:dyDescent="0.3">
      <c r="B90" s="19"/>
      <c r="C90" s="20"/>
      <c r="D90" s="20"/>
      <c r="E90" s="20"/>
      <c r="F90" s="20"/>
      <c r="G90" s="20"/>
      <c r="H90" s="20"/>
      <c r="I90" s="20"/>
      <c r="J90" s="20"/>
      <c r="K90" s="20"/>
      <c r="L90" s="20"/>
      <c r="M90" s="20"/>
      <c r="N90" s="21"/>
    </row>
    <row r="91" spans="2:14" x14ac:dyDescent="0.3">
      <c r="B91" s="19"/>
      <c r="C91" s="20"/>
      <c r="D91" s="20"/>
      <c r="E91" s="20"/>
      <c r="F91" s="20"/>
      <c r="G91" s="20"/>
      <c r="H91" s="20"/>
      <c r="I91" s="20"/>
      <c r="J91" s="20"/>
      <c r="K91" s="20"/>
      <c r="L91" s="20"/>
      <c r="M91" s="20"/>
      <c r="N91" s="21"/>
    </row>
    <row r="92" spans="2:14" x14ac:dyDescent="0.3">
      <c r="B92" s="19"/>
      <c r="C92" s="20"/>
      <c r="D92" s="20"/>
      <c r="E92" s="20"/>
      <c r="F92" s="20"/>
      <c r="G92" s="20"/>
      <c r="H92" s="20"/>
      <c r="I92" s="20"/>
      <c r="J92" s="20"/>
      <c r="K92" s="20"/>
      <c r="L92" s="20"/>
      <c r="M92" s="20"/>
      <c r="N92" s="21"/>
    </row>
    <row r="93" spans="2:14" x14ac:dyDescent="0.3">
      <c r="B93" s="19"/>
      <c r="C93" s="20"/>
      <c r="D93" s="20"/>
      <c r="E93" s="20"/>
      <c r="F93" s="20"/>
      <c r="G93" s="20"/>
      <c r="H93" s="20"/>
      <c r="I93" s="20"/>
      <c r="J93" s="20"/>
      <c r="K93" s="20"/>
      <c r="L93" s="20"/>
      <c r="M93" s="20"/>
      <c r="N93" s="21"/>
    </row>
    <row r="94" spans="2:14" x14ac:dyDescent="0.3">
      <c r="B94" s="19"/>
      <c r="C94" s="20"/>
      <c r="D94" s="20"/>
      <c r="E94" s="20"/>
      <c r="F94" s="20"/>
      <c r="G94" s="20"/>
      <c r="H94" s="20"/>
      <c r="I94" s="20"/>
      <c r="J94" s="20"/>
      <c r="K94" s="20"/>
      <c r="L94" s="20"/>
      <c r="M94" s="20"/>
      <c r="N94" s="21"/>
    </row>
    <row r="95" spans="2:14" x14ac:dyDescent="0.3">
      <c r="B95" s="19"/>
      <c r="C95" s="20"/>
      <c r="D95" s="20"/>
      <c r="E95" s="20"/>
      <c r="F95" s="20"/>
      <c r="G95" s="20"/>
      <c r="H95" s="20"/>
      <c r="I95" s="20"/>
      <c r="J95" s="20"/>
      <c r="K95" s="20"/>
      <c r="L95" s="20"/>
      <c r="M95" s="20"/>
      <c r="N95" s="21"/>
    </row>
    <row r="96" spans="2:14" x14ac:dyDescent="0.3">
      <c r="B96" s="19"/>
      <c r="C96" s="20"/>
      <c r="D96" s="20"/>
      <c r="E96" s="20"/>
      <c r="F96" s="20"/>
      <c r="G96" s="20"/>
      <c r="H96" s="20"/>
      <c r="I96" s="20"/>
      <c r="J96" s="20"/>
      <c r="K96" s="20"/>
      <c r="L96" s="20"/>
      <c r="M96" s="20"/>
      <c r="N96" s="21"/>
    </row>
    <row r="97" spans="2:14" x14ac:dyDescent="0.3">
      <c r="B97" s="19"/>
      <c r="C97" s="20"/>
      <c r="D97" s="20"/>
      <c r="E97" s="20"/>
      <c r="F97" s="20"/>
      <c r="G97" s="20"/>
      <c r="H97" s="20"/>
      <c r="I97" s="20"/>
      <c r="J97" s="20"/>
      <c r="K97" s="20"/>
      <c r="L97" s="20"/>
      <c r="M97" s="20"/>
      <c r="N97" s="21"/>
    </row>
    <row r="98" spans="2:14" x14ac:dyDescent="0.3">
      <c r="B98" s="19"/>
      <c r="C98" s="20"/>
      <c r="D98" s="20"/>
      <c r="E98" s="20"/>
      <c r="F98" s="20"/>
      <c r="G98" s="20"/>
      <c r="H98" s="20"/>
      <c r="I98" s="20"/>
      <c r="J98" s="20"/>
      <c r="K98" s="20"/>
      <c r="L98" s="20"/>
      <c r="M98" s="20"/>
      <c r="N98" s="21"/>
    </row>
    <row r="99" spans="2:14" x14ac:dyDescent="0.3">
      <c r="B99" s="19"/>
      <c r="C99" s="20"/>
      <c r="D99" s="20"/>
      <c r="E99" s="20"/>
      <c r="F99" s="20"/>
      <c r="G99" s="20"/>
      <c r="H99" s="20"/>
      <c r="I99" s="20"/>
      <c r="J99" s="20"/>
      <c r="K99" s="20"/>
      <c r="L99" s="20"/>
      <c r="M99" s="20"/>
      <c r="N99" s="21"/>
    </row>
    <row r="100" spans="2:14" x14ac:dyDescent="0.3">
      <c r="B100" s="19"/>
      <c r="C100" s="20"/>
      <c r="D100" s="20"/>
      <c r="E100" s="20"/>
      <c r="F100" s="20"/>
      <c r="G100" s="20"/>
      <c r="H100" s="20"/>
      <c r="I100" s="20"/>
      <c r="J100" s="20"/>
      <c r="K100" s="20"/>
      <c r="L100" s="20"/>
      <c r="M100" s="20"/>
      <c r="N100" s="21"/>
    </row>
    <row r="101" spans="2:14" x14ac:dyDescent="0.3">
      <c r="B101" s="19"/>
      <c r="C101" s="20"/>
      <c r="D101" s="20"/>
      <c r="E101" s="20"/>
      <c r="F101" s="20"/>
      <c r="G101" s="20"/>
      <c r="H101" s="20"/>
      <c r="I101" s="20"/>
      <c r="J101" s="20"/>
      <c r="K101" s="20"/>
      <c r="L101" s="20"/>
      <c r="M101" s="20"/>
      <c r="N101" s="21"/>
    </row>
    <row r="102" spans="2:14" x14ac:dyDescent="0.3">
      <c r="B102" s="19"/>
      <c r="C102" s="20"/>
      <c r="D102" s="20"/>
      <c r="E102" s="20"/>
      <c r="F102" s="20"/>
      <c r="G102" s="20"/>
      <c r="H102" s="20"/>
      <c r="I102" s="20"/>
      <c r="J102" s="20"/>
      <c r="K102" s="20"/>
      <c r="L102" s="20"/>
      <c r="M102" s="20"/>
      <c r="N102" s="21"/>
    </row>
    <row r="103" spans="2:14" x14ac:dyDescent="0.3">
      <c r="B103" s="37"/>
      <c r="C103" s="38"/>
      <c r="D103" s="38"/>
      <c r="E103" s="38"/>
      <c r="F103" s="38"/>
      <c r="G103" s="38"/>
      <c r="H103" s="38"/>
      <c r="I103" s="38"/>
      <c r="J103" s="38"/>
      <c r="K103" s="38"/>
      <c r="L103" s="38"/>
      <c r="M103" s="38"/>
      <c r="N103" s="39"/>
    </row>
  </sheetData>
  <mergeCells count="29">
    <mergeCell ref="C84:G86"/>
    <mergeCell ref="I84:M86"/>
    <mergeCell ref="D19:L20"/>
    <mergeCell ref="F8:J9"/>
    <mergeCell ref="D10:L13"/>
    <mergeCell ref="C35:G37"/>
    <mergeCell ref="I35:M37"/>
    <mergeCell ref="C43:D43"/>
    <mergeCell ref="F43:G43"/>
    <mergeCell ref="D47:E47"/>
    <mergeCell ref="G47:I47"/>
    <mergeCell ref="E40:F40"/>
    <mergeCell ref="E41:F41"/>
    <mergeCell ref="D68:L69"/>
    <mergeCell ref="J39:M40"/>
    <mergeCell ref="J42:M43"/>
    <mergeCell ref="E39:F39"/>
    <mergeCell ref="J44:M45"/>
    <mergeCell ref="C60:G60"/>
    <mergeCell ref="I60:M60"/>
    <mergeCell ref="D52:L53"/>
    <mergeCell ref="G48:I48"/>
    <mergeCell ref="G49:I49"/>
    <mergeCell ref="D48:E48"/>
    <mergeCell ref="D49:E49"/>
    <mergeCell ref="F44:G44"/>
    <mergeCell ref="F45:G45"/>
    <mergeCell ref="C44:D44"/>
    <mergeCell ref="C45:D45"/>
  </mergeCells>
  <conditionalFormatting sqref="C45:D45">
    <cfRule type="cellIs" dxfId="19" priority="39" operator="greaterThan">
      <formula>0.005</formula>
    </cfRule>
    <cfRule type="cellIs" dxfId="18" priority="40" operator="between">
      <formula>0.005</formula>
      <formula>-0.005</formula>
    </cfRule>
    <cfRule type="cellIs" dxfId="17" priority="41" operator="lessThan">
      <formula>-0.005</formula>
    </cfRule>
    <cfRule type="cellIs" dxfId="16" priority="42" operator="greaterThan">
      <formula>0.005</formula>
    </cfRule>
    <cfRule type="iconSet" priority="49">
      <iconSet iconSet="3Arrows">
        <cfvo type="percent" val="0"/>
        <cfvo type="num" val="-5.0000000000000001E-3" gte="0"/>
        <cfvo type="num" val="5.0000000000000001E-3"/>
      </iconSet>
    </cfRule>
    <cfRule type="iconSet" priority="50">
      <iconSet iconSet="3Arrows">
        <cfvo type="percent" val="0"/>
        <cfvo type="percent" val="33"/>
        <cfvo type="percent" val="67"/>
      </iconSet>
    </cfRule>
  </conditionalFormatting>
  <conditionalFormatting sqref="E41:F41">
    <cfRule type="cellIs" dxfId="15" priority="33" operator="greaterThan">
      <formula>0.005</formula>
    </cfRule>
    <cfRule type="cellIs" dxfId="14" priority="34" operator="between">
      <formula>0.005</formula>
      <formula>-0.005</formula>
    </cfRule>
    <cfRule type="cellIs" dxfId="13" priority="35" operator="lessThan">
      <formula>-0.005</formula>
    </cfRule>
    <cfRule type="cellIs" dxfId="12" priority="36" operator="greaterThan">
      <formula>0.005</formula>
    </cfRule>
    <cfRule type="iconSet" priority="37">
      <iconSet iconSet="3Arrows">
        <cfvo type="percent" val="0"/>
        <cfvo type="num" val="-5.0000000000000001E-3" gte="0"/>
        <cfvo type="num" val="5.0000000000000001E-3"/>
      </iconSet>
    </cfRule>
    <cfRule type="iconSet" priority="38">
      <iconSet iconSet="3Arrows">
        <cfvo type="percent" val="0"/>
        <cfvo type="percent" val="33"/>
        <cfvo type="percent" val="67"/>
      </iconSet>
    </cfRule>
  </conditionalFormatting>
  <conditionalFormatting sqref="F45:G45">
    <cfRule type="cellIs" dxfId="11" priority="27" operator="greaterThan">
      <formula>0.005</formula>
    </cfRule>
    <cfRule type="cellIs" dxfId="10" priority="28" operator="between">
      <formula>0.005</formula>
      <formula>-0.005</formula>
    </cfRule>
    <cfRule type="cellIs" dxfId="9" priority="29" operator="lessThan">
      <formula>-0.005</formula>
    </cfRule>
    <cfRule type="cellIs" dxfId="8" priority="30" operator="greaterThan">
      <formula>0.005</formula>
    </cfRule>
    <cfRule type="iconSet" priority="31">
      <iconSet iconSet="3Arrows">
        <cfvo type="percent" val="0"/>
        <cfvo type="num" val="-5.0000000000000001E-3" gte="0"/>
        <cfvo type="num" val="5.0000000000000001E-3"/>
      </iconSet>
    </cfRule>
    <cfRule type="iconSet" priority="32">
      <iconSet iconSet="3Arrows">
        <cfvo type="percent" val="0"/>
        <cfvo type="percent" val="33"/>
        <cfvo type="percent" val="67"/>
      </iconSet>
    </cfRule>
  </conditionalFormatting>
  <conditionalFormatting sqref="G49">
    <cfRule type="cellIs" dxfId="7" priority="21" operator="greaterThan">
      <formula>0.005</formula>
    </cfRule>
    <cfRule type="cellIs" dxfId="6" priority="22" operator="between">
      <formula>0.005</formula>
      <formula>-0.005</formula>
    </cfRule>
    <cfRule type="cellIs" dxfId="5" priority="23" operator="lessThan">
      <formula>-0.005</formula>
    </cfRule>
    <cfRule type="cellIs" dxfId="4" priority="24" operator="greaterThan">
      <formula>0.005</formula>
    </cfRule>
    <cfRule type="iconSet" priority="25">
      <iconSet iconSet="3Arrows">
        <cfvo type="percent" val="0"/>
        <cfvo type="num" val="-5.0000000000000001E-3" gte="0"/>
        <cfvo type="num" val="5.0000000000000001E-3"/>
      </iconSet>
    </cfRule>
    <cfRule type="iconSet" priority="26">
      <iconSet iconSet="3Arrows">
        <cfvo type="percent" val="0"/>
        <cfvo type="percent" val="33"/>
        <cfvo type="percent" val="67"/>
      </iconSet>
    </cfRule>
  </conditionalFormatting>
  <conditionalFormatting sqref="D49:E49">
    <cfRule type="cellIs" dxfId="3" priority="15" operator="greaterThan">
      <formula>0.005</formula>
    </cfRule>
    <cfRule type="cellIs" dxfId="2" priority="16" operator="between">
      <formula>0.005</formula>
      <formula>-0.005</formula>
    </cfRule>
    <cfRule type="cellIs" dxfId="1" priority="17" operator="lessThan">
      <formula>-0.005</formula>
    </cfRule>
    <cfRule type="cellIs" dxfId="0" priority="18" operator="greaterThan">
      <formula>0.005</formula>
    </cfRule>
    <cfRule type="iconSet" priority="19">
      <iconSet iconSet="3Arrows">
        <cfvo type="percent" val="0"/>
        <cfvo type="num" val="-5.0000000000000001E-3" gte="0"/>
        <cfvo type="num" val="5.0000000000000001E-3"/>
      </iconSet>
    </cfRule>
    <cfRule type="iconSet" priority="20">
      <iconSet iconSet="3Arrows">
        <cfvo type="percent" val="0"/>
        <cfvo type="percent" val="33"/>
        <cfvo type="percent" val="67"/>
      </iconSet>
    </cfRule>
  </conditionalFormatting>
  <conditionalFormatting sqref="D62:D66">
    <cfRule type="dataBar" priority="14">
      <dataBar>
        <cfvo type="min"/>
        <cfvo type="max"/>
        <color rgb="FFD8E2DC"/>
      </dataBar>
      <extLst>
        <ext xmlns:x14="http://schemas.microsoft.com/office/spreadsheetml/2009/9/main" uri="{B025F937-C7B1-47D3-B67F-A62EFF666E3E}">
          <x14:id>{283E8446-9C6D-41A5-BD03-0BDC313302CA}</x14:id>
        </ext>
      </extLst>
    </cfRule>
  </conditionalFormatting>
  <conditionalFormatting sqref="J62:J66">
    <cfRule type="dataBar" priority="12">
      <dataBar>
        <cfvo type="min"/>
        <cfvo type="max"/>
        <color rgb="FFD8E2DC"/>
      </dataBar>
      <extLst>
        <ext xmlns:x14="http://schemas.microsoft.com/office/spreadsheetml/2009/9/main" uri="{B025F937-C7B1-47D3-B67F-A62EFF666E3E}">
          <x14:id>{C749C07F-F703-474E-80EF-2308FB60CE01}</x14:id>
        </ext>
      </extLst>
    </cfRule>
  </conditionalFormatting>
  <conditionalFormatting sqref="E62:E66">
    <cfRule type="dataBar" priority="10">
      <dataBar>
        <cfvo type="min"/>
        <cfvo type="max"/>
        <color rgb="FFD8E2DC"/>
      </dataBar>
      <extLst>
        <ext xmlns:x14="http://schemas.microsoft.com/office/spreadsheetml/2009/9/main" uri="{B025F937-C7B1-47D3-B67F-A62EFF666E3E}">
          <x14:id>{2F1001EA-D055-4C77-A4CB-DA1AA253B6DF}</x14:id>
        </ext>
      </extLst>
    </cfRule>
  </conditionalFormatting>
  <conditionalFormatting sqref="K62:K66">
    <cfRule type="dataBar" priority="9">
      <dataBar>
        <cfvo type="min"/>
        <cfvo type="max"/>
        <color rgb="FFD8E2DC"/>
      </dataBar>
      <extLst>
        <ext xmlns:x14="http://schemas.microsoft.com/office/spreadsheetml/2009/9/main" uri="{B025F937-C7B1-47D3-B67F-A62EFF666E3E}">
          <x14:id>{11B15652-D85C-4104-A09A-11A922ADC6AA}</x14:id>
        </ext>
      </extLst>
    </cfRule>
  </conditionalFormatting>
  <conditionalFormatting sqref="F62:F66">
    <cfRule type="colorScale" priority="7">
      <colorScale>
        <cfvo type="min"/>
        <cfvo type="max"/>
        <color theme="0" tint="-4.9989318521683403E-2"/>
        <color rgb="FFD9CDD0"/>
      </colorScale>
    </cfRule>
    <cfRule type="colorScale" priority="8">
      <colorScale>
        <cfvo type="min"/>
        <cfvo type="max"/>
        <color rgb="FFFFE5D9"/>
        <color rgb="FFFFCAD4"/>
      </colorScale>
    </cfRule>
  </conditionalFormatting>
  <conditionalFormatting sqref="L62:L66">
    <cfRule type="colorScale" priority="5">
      <colorScale>
        <cfvo type="min"/>
        <cfvo type="max"/>
        <color theme="0" tint="-4.9989318521683403E-2"/>
        <color rgb="FFD9CDD0"/>
      </colorScale>
    </cfRule>
    <cfRule type="colorScale" priority="6">
      <colorScale>
        <cfvo type="min"/>
        <cfvo type="max"/>
        <color rgb="FFFFE5D9"/>
        <color rgb="FFFFCAD4"/>
      </colorScale>
    </cfRule>
  </conditionalFormatting>
  <conditionalFormatting sqref="G62:G66">
    <cfRule type="colorScale" priority="3">
      <colorScale>
        <cfvo type="min"/>
        <cfvo type="max"/>
        <color theme="0" tint="-4.9989318521683403E-2"/>
        <color rgb="FFD9CDD0"/>
      </colorScale>
    </cfRule>
    <cfRule type="colorScale" priority="4">
      <colorScale>
        <cfvo type="min"/>
        <cfvo type="max"/>
        <color rgb="FFFFE5D9"/>
        <color rgb="FFFFCAD4"/>
      </colorScale>
    </cfRule>
  </conditionalFormatting>
  <conditionalFormatting sqref="M62:M66">
    <cfRule type="colorScale" priority="1">
      <colorScale>
        <cfvo type="min"/>
        <cfvo type="max"/>
        <color theme="0" tint="-4.9989318521683403E-2"/>
        <color rgb="FFD9CDD0"/>
      </colorScale>
    </cfRule>
    <cfRule type="colorScale" priority="2">
      <colorScale>
        <cfvo type="min"/>
        <cfvo type="max"/>
        <color rgb="FFFFE5D9"/>
        <color rgb="FFFFCAD4"/>
      </colorScale>
    </cfRule>
  </conditionalFormatting>
  <pageMargins left="0.7" right="0.7" top="0.75" bottom="0.75" header="0.3" footer="0.3"/>
  <pageSetup paperSize="9" orientation="portrait" r:id="rId1"/>
  <drawing r:id="rId2"/>
  <extLst>
    <ext xmlns:x14="http://schemas.microsoft.com/office/spreadsheetml/2009/9/main" uri="{78C0D931-6437-407d-A8EE-F0AAD7539E65}">
      <x14:conditionalFormattings>
        <x14:conditionalFormatting xmlns:xm="http://schemas.microsoft.com/office/excel/2006/main">
          <x14:cfRule type="dataBar" id="{283E8446-9C6D-41A5-BD03-0BDC313302CA}">
            <x14:dataBar minLength="0" maxLength="100" gradient="0">
              <x14:cfvo type="autoMin"/>
              <x14:cfvo type="autoMax"/>
              <x14:negativeFillColor rgb="FFFF0000"/>
              <x14:axisColor rgb="FF000000"/>
            </x14:dataBar>
          </x14:cfRule>
          <xm:sqref>D62:D66</xm:sqref>
        </x14:conditionalFormatting>
        <x14:conditionalFormatting xmlns:xm="http://schemas.microsoft.com/office/excel/2006/main">
          <x14:cfRule type="dataBar" id="{C749C07F-F703-474E-80EF-2308FB60CE01}">
            <x14:dataBar minLength="0" maxLength="100" gradient="0">
              <x14:cfvo type="autoMin"/>
              <x14:cfvo type="autoMax"/>
              <x14:negativeFillColor rgb="FFFF0000"/>
              <x14:axisColor rgb="FF000000"/>
            </x14:dataBar>
          </x14:cfRule>
          <xm:sqref>J62:J66</xm:sqref>
        </x14:conditionalFormatting>
        <x14:conditionalFormatting xmlns:xm="http://schemas.microsoft.com/office/excel/2006/main">
          <x14:cfRule type="dataBar" id="{2F1001EA-D055-4C77-A4CB-DA1AA253B6DF}">
            <x14:dataBar minLength="0" maxLength="100" gradient="0">
              <x14:cfvo type="autoMin"/>
              <x14:cfvo type="autoMax"/>
              <x14:negativeFillColor rgb="FFFF0000"/>
              <x14:axisColor rgb="FF000000"/>
            </x14:dataBar>
          </x14:cfRule>
          <xm:sqref>E62:E66</xm:sqref>
        </x14:conditionalFormatting>
        <x14:conditionalFormatting xmlns:xm="http://schemas.microsoft.com/office/excel/2006/main">
          <x14:cfRule type="dataBar" id="{11B15652-D85C-4104-A09A-11A922ADC6AA}">
            <x14:dataBar minLength="0" maxLength="100" gradient="0">
              <x14:cfvo type="autoMin"/>
              <x14:cfvo type="autoMax"/>
              <x14:negativeFillColor rgb="FFFF0000"/>
              <x14:axisColor rgb="FF000000"/>
            </x14:dataBar>
          </x14:cfRule>
          <xm:sqref>K62:K66</xm:sqref>
        </x14:conditionalFormatting>
      </x14:conditionalFormattings>
    </ext>
    <ext xmlns:x14="http://schemas.microsoft.com/office/spreadsheetml/2009/9/main" uri="{CCE6A557-97BC-4b89-ADB6-D9C93CAAB3DF}">
      <x14:dataValidations xmlns:xm="http://schemas.microsoft.com/office/excel/2006/main" count="1">
        <x14:dataValidation type="list" showInputMessage="1" showErrorMessage="1" errorTitle="Mois non valide" error="Veuillez sélectionner un mois parmi ceux de la liste" promptTitle="Veuillez sélectionner un mois" xr:uid="{8A920376-3B06-4813-903B-ED004BD3415B}">
          <x14:formula1>
            <xm:f>'Données sources'!$A$24:$A$35</xm:f>
          </x14:formula1>
          <xm:sqref>F8:J9</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B4C833-B6AF-4031-87DB-5264FC55C40C}">
  <sheetPr>
    <tabColor rgb="FFD9CDD0"/>
  </sheetPr>
  <dimension ref="A1:C43"/>
  <sheetViews>
    <sheetView zoomScale="77" workbookViewId="0">
      <selection activeCell="G8" sqref="G8"/>
    </sheetView>
  </sheetViews>
  <sheetFormatPr baseColWidth="10" defaultRowHeight="14.4" x14ac:dyDescent="0.3"/>
  <cols>
    <col min="1" max="1" width="60.6640625" style="67" bestFit="1" customWidth="1"/>
    <col min="2" max="2" width="2.88671875" style="9" customWidth="1"/>
    <col min="3" max="3" width="105.33203125" style="9" bestFit="1" customWidth="1"/>
    <col min="4" max="16384" width="11.5546875" style="9"/>
  </cols>
  <sheetData>
    <row r="1" spans="1:3" ht="33.6" x14ac:dyDescent="0.3">
      <c r="A1" s="122" t="s">
        <v>56</v>
      </c>
      <c r="B1" s="123"/>
      <c r="C1" s="124"/>
    </row>
    <row r="2" spans="1:3" x14ac:dyDescent="0.3">
      <c r="A2" s="69"/>
      <c r="B2" s="20"/>
      <c r="C2" s="21"/>
    </row>
    <row r="3" spans="1:3" s="68" customFormat="1" ht="27" customHeight="1" x14ac:dyDescent="0.3">
      <c r="A3" s="125" t="s">
        <v>167</v>
      </c>
      <c r="B3" s="126"/>
      <c r="C3" s="127"/>
    </row>
    <row r="4" spans="1:3" x14ac:dyDescent="0.3">
      <c r="A4" s="69"/>
      <c r="B4" s="20"/>
      <c r="C4" s="21"/>
    </row>
    <row r="5" spans="1:3" x14ac:dyDescent="0.3">
      <c r="A5" s="69" t="s">
        <v>39</v>
      </c>
      <c r="B5" s="20"/>
      <c r="C5" s="21" t="s">
        <v>135</v>
      </c>
    </row>
    <row r="6" spans="1:3" x14ac:dyDescent="0.3">
      <c r="A6" s="69" t="s">
        <v>136</v>
      </c>
      <c r="B6" s="20"/>
      <c r="C6" s="21" t="s">
        <v>137</v>
      </c>
    </row>
    <row r="7" spans="1:3" x14ac:dyDescent="0.3">
      <c r="A7" s="69" t="s">
        <v>138</v>
      </c>
      <c r="B7" s="20"/>
      <c r="C7" s="21" t="s">
        <v>139</v>
      </c>
    </row>
    <row r="8" spans="1:3" x14ac:dyDescent="0.3">
      <c r="A8" s="69" t="s">
        <v>140</v>
      </c>
      <c r="B8" s="20"/>
      <c r="C8" s="21" t="s">
        <v>141</v>
      </c>
    </row>
    <row r="9" spans="1:3" x14ac:dyDescent="0.3">
      <c r="A9" s="69" t="s">
        <v>142</v>
      </c>
      <c r="B9" s="20"/>
      <c r="C9" s="21" t="s">
        <v>143</v>
      </c>
    </row>
    <row r="10" spans="1:3" x14ac:dyDescent="0.3">
      <c r="A10" s="69" t="s">
        <v>144</v>
      </c>
      <c r="B10" s="20"/>
      <c r="C10" s="21" t="s">
        <v>145</v>
      </c>
    </row>
    <row r="11" spans="1:3" x14ac:dyDescent="0.3">
      <c r="A11" s="69"/>
      <c r="B11" s="20"/>
      <c r="C11" s="21"/>
    </row>
    <row r="12" spans="1:3" x14ac:dyDescent="0.3">
      <c r="A12" s="69"/>
      <c r="B12" s="20"/>
      <c r="C12" s="21"/>
    </row>
    <row r="13" spans="1:3" s="68" customFormat="1" ht="27" customHeight="1" x14ac:dyDescent="0.3">
      <c r="A13" s="125" t="s">
        <v>94</v>
      </c>
      <c r="B13" s="126"/>
      <c r="C13" s="127"/>
    </row>
    <row r="14" spans="1:3" x14ac:dyDescent="0.3">
      <c r="A14" s="69"/>
      <c r="B14" s="20"/>
      <c r="C14" s="21"/>
    </row>
    <row r="15" spans="1:3" x14ac:dyDescent="0.3">
      <c r="A15" s="119" t="s">
        <v>146</v>
      </c>
      <c r="B15" s="120"/>
      <c r="C15" s="121"/>
    </row>
    <row r="16" spans="1:3" x14ac:dyDescent="0.3">
      <c r="A16" s="69" t="s">
        <v>60</v>
      </c>
      <c r="B16" s="20"/>
      <c r="C16" s="21" t="s">
        <v>147</v>
      </c>
    </row>
    <row r="17" spans="1:3" x14ac:dyDescent="0.3">
      <c r="A17" s="69" t="s">
        <v>63</v>
      </c>
      <c r="B17" s="20"/>
      <c r="C17" s="21" t="s">
        <v>148</v>
      </c>
    </row>
    <row r="18" spans="1:3" x14ac:dyDescent="0.3">
      <c r="A18" s="69" t="s">
        <v>65</v>
      </c>
      <c r="B18" s="20"/>
      <c r="C18" s="21" t="s">
        <v>149</v>
      </c>
    </row>
    <row r="19" spans="1:3" x14ac:dyDescent="0.3">
      <c r="A19" s="69" t="s">
        <v>64</v>
      </c>
      <c r="B19" s="20"/>
      <c r="C19" s="21" t="s">
        <v>150</v>
      </c>
    </row>
    <row r="20" spans="1:3" x14ac:dyDescent="0.3">
      <c r="A20" s="69" t="s">
        <v>61</v>
      </c>
      <c r="B20" s="20"/>
      <c r="C20" s="21" t="s">
        <v>151</v>
      </c>
    </row>
    <row r="21" spans="1:3" x14ac:dyDescent="0.3">
      <c r="A21" s="69" t="s">
        <v>34</v>
      </c>
      <c r="B21" s="20"/>
      <c r="C21" s="21" t="s">
        <v>57</v>
      </c>
    </row>
    <row r="22" spans="1:3" x14ac:dyDescent="0.3">
      <c r="A22" s="69"/>
      <c r="B22" s="20"/>
      <c r="C22" s="21"/>
    </row>
    <row r="23" spans="1:3" x14ac:dyDescent="0.3">
      <c r="A23" s="119" t="s">
        <v>152</v>
      </c>
      <c r="B23" s="120"/>
      <c r="C23" s="121"/>
    </row>
    <row r="24" spans="1:3" x14ac:dyDescent="0.3">
      <c r="A24" s="69" t="s">
        <v>68</v>
      </c>
      <c r="B24" s="20"/>
      <c r="C24" s="21" t="s">
        <v>153</v>
      </c>
    </row>
    <row r="25" spans="1:3" x14ac:dyDescent="0.3">
      <c r="A25" s="69" t="s">
        <v>69</v>
      </c>
      <c r="B25" s="20"/>
      <c r="C25" s="21" t="s">
        <v>154</v>
      </c>
    </row>
    <row r="26" spans="1:3" x14ac:dyDescent="0.3">
      <c r="A26" s="69" t="s">
        <v>66</v>
      </c>
      <c r="B26" s="20"/>
      <c r="C26" s="21" t="s">
        <v>155</v>
      </c>
    </row>
    <row r="27" spans="1:3" x14ac:dyDescent="0.3">
      <c r="A27" s="69" t="s">
        <v>62</v>
      </c>
      <c r="B27" s="20"/>
      <c r="C27" s="21" t="s">
        <v>156</v>
      </c>
    </row>
    <row r="28" spans="1:3" x14ac:dyDescent="0.3">
      <c r="A28" s="69" t="s">
        <v>67</v>
      </c>
      <c r="B28" s="20"/>
      <c r="C28" s="21" t="s">
        <v>157</v>
      </c>
    </row>
    <row r="29" spans="1:3" x14ac:dyDescent="0.3">
      <c r="A29" s="69" t="s">
        <v>34</v>
      </c>
      <c r="B29" s="20"/>
      <c r="C29" s="21" t="s">
        <v>57</v>
      </c>
    </row>
    <row r="30" spans="1:3" x14ac:dyDescent="0.3">
      <c r="A30" s="69"/>
      <c r="B30" s="20"/>
      <c r="C30" s="21"/>
    </row>
    <row r="31" spans="1:3" x14ac:dyDescent="0.3">
      <c r="A31" s="69"/>
      <c r="B31" s="20"/>
      <c r="C31" s="21"/>
    </row>
    <row r="32" spans="1:3" ht="27" customHeight="1" x14ac:dyDescent="0.3">
      <c r="A32" s="125" t="s">
        <v>110</v>
      </c>
      <c r="B32" s="126"/>
      <c r="C32" s="127"/>
    </row>
    <row r="33" spans="1:3" x14ac:dyDescent="0.3">
      <c r="A33" s="69"/>
      <c r="B33" s="20"/>
      <c r="C33" s="21"/>
    </row>
    <row r="34" spans="1:3" x14ac:dyDescent="0.3">
      <c r="A34" s="69" t="s">
        <v>158</v>
      </c>
      <c r="B34" s="20"/>
      <c r="C34" s="21" t="s">
        <v>159</v>
      </c>
    </row>
    <row r="35" spans="1:3" x14ac:dyDescent="0.3">
      <c r="A35" s="69" t="s">
        <v>53</v>
      </c>
      <c r="B35" s="20"/>
      <c r="C35" s="21" t="s">
        <v>160</v>
      </c>
    </row>
    <row r="36" spans="1:3" x14ac:dyDescent="0.3">
      <c r="A36" s="69"/>
      <c r="B36" s="20"/>
      <c r="C36" s="21"/>
    </row>
    <row r="37" spans="1:3" x14ac:dyDescent="0.3">
      <c r="A37" s="119" t="s">
        <v>168</v>
      </c>
      <c r="B37" s="120"/>
      <c r="C37" s="121"/>
    </row>
    <row r="38" spans="1:3" x14ac:dyDescent="0.3">
      <c r="A38" s="69" t="s">
        <v>72</v>
      </c>
      <c r="B38" s="20"/>
      <c r="C38" s="21" t="s">
        <v>161</v>
      </c>
    </row>
    <row r="39" spans="1:3" x14ac:dyDescent="0.3">
      <c r="A39" s="69" t="s">
        <v>73</v>
      </c>
      <c r="B39" s="20"/>
      <c r="C39" s="21" t="s">
        <v>162</v>
      </c>
    </row>
    <row r="40" spans="1:3" x14ac:dyDescent="0.3">
      <c r="A40" s="69" t="s">
        <v>74</v>
      </c>
      <c r="B40" s="20"/>
      <c r="C40" s="21" t="s">
        <v>163</v>
      </c>
    </row>
    <row r="41" spans="1:3" x14ac:dyDescent="0.3">
      <c r="A41" s="69" t="s">
        <v>71</v>
      </c>
      <c r="B41" s="20"/>
      <c r="C41" s="21" t="s">
        <v>164</v>
      </c>
    </row>
    <row r="42" spans="1:3" x14ac:dyDescent="0.3">
      <c r="A42" s="69" t="s">
        <v>70</v>
      </c>
      <c r="B42" s="20"/>
      <c r="C42" s="21" t="s">
        <v>165</v>
      </c>
    </row>
    <row r="43" spans="1:3" x14ac:dyDescent="0.3">
      <c r="A43" s="70"/>
      <c r="B43" s="38"/>
      <c r="C43" s="39"/>
    </row>
  </sheetData>
  <mergeCells count="7">
    <mergeCell ref="A37:C37"/>
    <mergeCell ref="A1:C1"/>
    <mergeCell ref="A3:C3"/>
    <mergeCell ref="A13:C13"/>
    <mergeCell ref="A32:C32"/>
    <mergeCell ref="A15:C15"/>
    <mergeCell ref="A23:C23"/>
  </mergeCell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FC0FC1-AE08-4614-A64C-1BE54CCDF362}">
  <sheetPr>
    <tabColor rgb="FFD8E2DC"/>
  </sheetPr>
  <dimension ref="A1:U65"/>
  <sheetViews>
    <sheetView zoomScale="49" zoomScaleNormal="78" workbookViewId="0">
      <selection activeCell="A5" sqref="A5"/>
    </sheetView>
  </sheetViews>
  <sheetFormatPr baseColWidth="10" defaultRowHeight="14.4" x14ac:dyDescent="0.3"/>
  <cols>
    <col min="1" max="1" width="29.21875" style="9" customWidth="1"/>
    <col min="2" max="2" width="28.5546875" style="9" customWidth="1"/>
    <col min="3" max="20" width="15.77734375" style="9" customWidth="1"/>
    <col min="21" max="21" width="11.5546875" style="42" customWidth="1"/>
    <col min="22" max="16384" width="11.5546875" style="9"/>
  </cols>
  <sheetData>
    <row r="1" spans="1:21" ht="48.6" customHeight="1" x14ac:dyDescent="0.3">
      <c r="A1" s="122" t="s">
        <v>166</v>
      </c>
      <c r="B1" s="123"/>
      <c r="C1" s="123"/>
      <c r="D1" s="123"/>
      <c r="E1" s="123"/>
      <c r="F1" s="123"/>
      <c r="G1" s="123"/>
      <c r="H1" s="123"/>
      <c r="I1" s="123"/>
      <c r="J1" s="123"/>
      <c r="K1" s="123"/>
      <c r="L1" s="123"/>
      <c r="M1" s="123"/>
      <c r="N1" s="123"/>
      <c r="O1" s="123"/>
      <c r="P1" s="123"/>
      <c r="Q1" s="123"/>
      <c r="R1" s="123"/>
      <c r="S1" s="123"/>
      <c r="T1" s="124"/>
    </row>
    <row r="2" spans="1:21" x14ac:dyDescent="0.3">
      <c r="A2" s="19"/>
      <c r="B2" s="20"/>
      <c r="C2" s="20"/>
      <c r="D2" s="20"/>
      <c r="E2" s="20"/>
      <c r="F2" s="20"/>
      <c r="G2" s="20"/>
      <c r="H2" s="20"/>
      <c r="I2" s="20"/>
      <c r="J2" s="20"/>
      <c r="K2" s="20"/>
      <c r="L2" s="20"/>
      <c r="M2" s="20"/>
      <c r="N2" s="20"/>
      <c r="O2" s="20"/>
      <c r="P2" s="20"/>
      <c r="Q2" s="20"/>
      <c r="R2" s="20"/>
      <c r="S2" s="20"/>
      <c r="T2" s="21"/>
    </row>
    <row r="3" spans="1:21" x14ac:dyDescent="0.3">
      <c r="A3" s="71" t="s">
        <v>103</v>
      </c>
      <c r="B3" s="20"/>
      <c r="C3" s="20"/>
      <c r="D3" s="20"/>
      <c r="E3" s="20"/>
      <c r="F3" s="20"/>
      <c r="G3" s="20"/>
      <c r="H3" s="20"/>
      <c r="I3" s="20"/>
      <c r="J3" s="20"/>
      <c r="K3" s="20"/>
      <c r="L3" s="20"/>
      <c r="M3" s="20"/>
      <c r="N3" s="20"/>
      <c r="O3" s="20"/>
      <c r="P3" s="20"/>
      <c r="Q3" s="20"/>
      <c r="R3" s="20"/>
      <c r="S3" s="20"/>
      <c r="T3" s="21"/>
    </row>
    <row r="4" spans="1:21" x14ac:dyDescent="0.3">
      <c r="A4" s="72" t="str">
        <f>'Newsletter Carte Glow'!$F$8</f>
        <v>Décembre 2024</v>
      </c>
      <c r="B4" s="20"/>
      <c r="C4" s="20"/>
      <c r="D4" s="20"/>
      <c r="E4" s="20"/>
      <c r="F4" s="20"/>
      <c r="G4" s="20"/>
      <c r="H4" s="20"/>
      <c r="I4" s="20"/>
      <c r="J4" s="20"/>
      <c r="K4" s="20"/>
      <c r="L4" s="20"/>
      <c r="M4" s="20"/>
      <c r="N4" s="20"/>
      <c r="O4" s="20"/>
      <c r="P4" s="20"/>
      <c r="Q4" s="20"/>
      <c r="R4" s="20"/>
      <c r="S4" s="20"/>
      <c r="T4" s="21"/>
    </row>
    <row r="5" spans="1:21" s="41" customFormat="1" x14ac:dyDescent="0.3">
      <c r="A5" s="82" t="s">
        <v>169</v>
      </c>
      <c r="B5" s="74"/>
      <c r="C5" s="74"/>
      <c r="D5" s="74"/>
      <c r="E5" s="74"/>
      <c r="F5" s="74"/>
      <c r="G5" s="74"/>
      <c r="H5" s="74"/>
      <c r="I5" s="74"/>
      <c r="J5" s="74"/>
      <c r="K5" s="74"/>
      <c r="L5" s="74"/>
      <c r="M5" s="74"/>
      <c r="N5" s="74"/>
      <c r="O5" s="74"/>
      <c r="P5" s="74"/>
      <c r="Q5" s="74"/>
      <c r="R5" s="74"/>
      <c r="S5" s="74"/>
      <c r="T5" s="75"/>
      <c r="U5" s="54"/>
    </row>
    <row r="6" spans="1:21" s="41" customFormat="1" x14ac:dyDescent="0.3">
      <c r="A6" s="73"/>
      <c r="B6" s="74"/>
      <c r="C6" s="74"/>
      <c r="D6" s="74"/>
      <c r="E6" s="74"/>
      <c r="F6" s="74"/>
      <c r="G6" s="74"/>
      <c r="H6" s="74"/>
      <c r="I6" s="74"/>
      <c r="J6" s="74"/>
      <c r="K6" s="74"/>
      <c r="L6" s="74"/>
      <c r="M6" s="74"/>
      <c r="N6" s="74"/>
      <c r="O6" s="74"/>
      <c r="P6" s="74"/>
      <c r="Q6" s="74"/>
      <c r="R6" s="74"/>
      <c r="S6" s="74"/>
      <c r="T6" s="75"/>
      <c r="U6" s="54"/>
    </row>
    <row r="7" spans="1:21" x14ac:dyDescent="0.3">
      <c r="A7" s="19"/>
      <c r="B7" s="20"/>
      <c r="C7" s="20"/>
      <c r="D7" s="20"/>
      <c r="E7" s="20"/>
      <c r="F7" s="20"/>
      <c r="G7" s="20"/>
      <c r="H7" s="20"/>
      <c r="I7" s="20"/>
      <c r="J7" s="20"/>
      <c r="K7" s="20"/>
      <c r="L7" s="20"/>
      <c r="M7" s="20"/>
      <c r="N7" s="20"/>
      <c r="O7" s="20"/>
      <c r="P7" s="20"/>
      <c r="Q7" s="20"/>
      <c r="R7" s="20"/>
      <c r="S7" s="20"/>
      <c r="T7" s="21"/>
    </row>
    <row r="8" spans="1:21" ht="30" customHeight="1" x14ac:dyDescent="0.3">
      <c r="A8" s="125" t="s">
        <v>113</v>
      </c>
      <c r="B8" s="126"/>
      <c r="C8" s="126"/>
      <c r="D8" s="126"/>
      <c r="E8" s="126"/>
      <c r="F8" s="126"/>
      <c r="G8" s="126"/>
      <c r="H8" s="126"/>
      <c r="I8" s="126"/>
      <c r="J8" s="126"/>
      <c r="K8" s="126"/>
      <c r="L8" s="126"/>
      <c r="M8" s="126"/>
      <c r="N8" s="126"/>
      <c r="O8" s="126"/>
      <c r="P8" s="126"/>
      <c r="Q8" s="126"/>
      <c r="R8" s="126"/>
      <c r="S8" s="126"/>
      <c r="T8" s="127"/>
    </row>
    <row r="9" spans="1:21" x14ac:dyDescent="0.3">
      <c r="A9" s="19"/>
      <c r="B9" s="20"/>
      <c r="C9" s="20"/>
      <c r="D9" s="20"/>
      <c r="E9" s="20"/>
      <c r="F9" s="20"/>
      <c r="G9" s="20"/>
      <c r="H9" s="20"/>
      <c r="I9" s="20"/>
      <c r="J9" s="20"/>
      <c r="K9" s="20"/>
      <c r="L9" s="20"/>
      <c r="M9" s="20"/>
      <c r="N9" s="20"/>
      <c r="O9" s="20"/>
      <c r="P9" s="20"/>
      <c r="Q9" s="20"/>
      <c r="R9" s="20"/>
      <c r="S9" s="20"/>
      <c r="T9" s="21"/>
    </row>
    <row r="10" spans="1:21" ht="20.399999999999999" hidden="1" x14ac:dyDescent="0.3">
      <c r="A10" s="19"/>
      <c r="B10" s="20"/>
      <c r="C10" s="76" t="s">
        <v>4</v>
      </c>
      <c r="D10" s="76" t="s">
        <v>22</v>
      </c>
      <c r="E10" s="76" t="s">
        <v>6</v>
      </c>
      <c r="F10" s="76" t="s">
        <v>24</v>
      </c>
      <c r="G10" s="76" t="s">
        <v>35</v>
      </c>
      <c r="H10" s="76" t="s">
        <v>38</v>
      </c>
      <c r="I10" s="76" t="s">
        <v>5</v>
      </c>
      <c r="J10" s="76" t="s">
        <v>23</v>
      </c>
      <c r="K10" s="76" t="s">
        <v>7</v>
      </c>
      <c r="L10" s="76" t="s">
        <v>25</v>
      </c>
      <c r="M10" s="76" t="s">
        <v>8</v>
      </c>
      <c r="N10" s="76" t="s">
        <v>26</v>
      </c>
      <c r="O10" s="76" t="s">
        <v>9</v>
      </c>
      <c r="P10" s="76" t="s">
        <v>27</v>
      </c>
      <c r="Q10" s="76" t="s">
        <v>10</v>
      </c>
      <c r="R10" s="76" t="s">
        <v>28</v>
      </c>
      <c r="S10" s="76" t="s">
        <v>11</v>
      </c>
      <c r="T10" s="77" t="s">
        <v>29</v>
      </c>
    </row>
    <row r="11" spans="1:21" ht="43.2" x14ac:dyDescent="0.3">
      <c r="A11" s="78" t="s">
        <v>37</v>
      </c>
      <c r="B11" s="43" t="s">
        <v>36</v>
      </c>
      <c r="C11" s="43" t="s">
        <v>39</v>
      </c>
      <c r="D11" s="43" t="s">
        <v>40</v>
      </c>
      <c r="E11" s="43" t="s">
        <v>43</v>
      </c>
      <c r="F11" s="43" t="s">
        <v>44</v>
      </c>
      <c r="G11" s="43" t="s">
        <v>45</v>
      </c>
      <c r="H11" s="43" t="s">
        <v>46</v>
      </c>
      <c r="I11" s="43" t="s">
        <v>41</v>
      </c>
      <c r="J11" s="43" t="s">
        <v>42</v>
      </c>
      <c r="K11" s="43" t="s">
        <v>49</v>
      </c>
      <c r="L11" s="43" t="s">
        <v>50</v>
      </c>
      <c r="M11" s="43" t="s">
        <v>51</v>
      </c>
      <c r="N11" s="43" t="s">
        <v>52</v>
      </c>
      <c r="O11" s="43" t="s">
        <v>47</v>
      </c>
      <c r="P11" s="43" t="s">
        <v>48</v>
      </c>
      <c r="Q11" s="43" t="s">
        <v>111</v>
      </c>
      <c r="R11" s="43" t="s">
        <v>112</v>
      </c>
      <c r="S11" s="43" t="s">
        <v>53</v>
      </c>
      <c r="T11" s="79" t="s">
        <v>54</v>
      </c>
    </row>
    <row r="12" spans="1:21" x14ac:dyDescent="0.3">
      <c r="A12" s="80" t="str">
        <f t="shared" ref="A12:A35" si="0">_xlfn.CONCAT(CHOOSE(RIGHT(B12,2),"Janvier ","Février ","Mars ","Avril ","Mai ","Juin ","Juillet ","Août ","Septembre ","Octobre ","Novembre ","Décembre "),LEFT(B12,4))</f>
        <v>Janvier 2023</v>
      </c>
      <c r="B12" s="45">
        <v>202301</v>
      </c>
      <c r="C12" s="46">
        <f>IFERROR(VLOOKUP(_xlfn.CONCAT($B12," &amp; Tous porteurs &gt; Tous profils"),'Données brutes'!$A:$AY,MATCH(C$10,'Données brutes'!$A$1:$AY$1,0),FALSE),"")</f>
        <v>246549225.81761274</v>
      </c>
      <c r="D12" s="47">
        <f>IFERROR(VLOOKUP(_xlfn.CONCAT($B12," &amp; Tous porteurs &gt; Tous profils"),'Données brutes'!$A:$AY,MATCH(D$10,'Données brutes'!$A$1:$AY$1,0),FALSE),"")</f>
        <v>9.7513230562559672E-2</v>
      </c>
      <c r="E12" s="48">
        <f>IFERROR(VLOOKUP(_xlfn.CONCAT($B12," &amp; Tous porteurs &gt; Tous profils"),'Données brutes'!$A:$AY,MATCH(E$10,'Données brutes'!$A$1:$AY$1,0),FALSE),"")</f>
        <v>5355275.4504504502</v>
      </c>
      <c r="F12" s="47">
        <f>IFERROR(VLOOKUP(_xlfn.CONCAT($B12," &amp; Tous porteurs &gt; Tous profils"),'Données brutes'!$A:$AY,MATCH(F$10,'Données brutes'!$A$1:$AY$1,0),FALSE),"")</f>
        <v>7.0928267098459452E-2</v>
      </c>
      <c r="G12" s="48">
        <f>IFERROR(VLOOKUP(_xlfn.CONCAT($B12," &amp; Tous porteurs &gt; Tous profils"),'Données brutes'!$A:$AY,MATCH(G$10,'Données brutes'!$A$1:$AY$1,0),FALSE),"")</f>
        <v>3771040.5</v>
      </c>
      <c r="H12" s="47">
        <f>IFERROR(VLOOKUP(_xlfn.CONCAT($B12," &amp; Tous porteurs &gt; Tous profils"),'Données brutes'!$A:$AY,MATCH(H$10,'Données brutes'!$A$1:$AY$1,0),FALSE),"")</f>
        <v>4.3456118658862009E-2</v>
      </c>
      <c r="I12" s="49">
        <f>IFERROR(VLOOKUP(_xlfn.CONCAT($B12," &amp; Tous porteurs &gt; Tous profils"),'Données brutes'!$A:$AY,MATCH(I$10,'Données brutes'!$A$1:$AY$1,0),FALSE),"")</f>
        <v>0.78821241225139849</v>
      </c>
      <c r="J12" s="50">
        <f>IFERROR(VLOOKUP(_xlfn.CONCAT($B12," &amp; Tous porteurs &gt; Tous profils"),'Données brutes'!$A:$AY,MATCH(J$10,'Données brutes'!$A$1:$AY$1,0),FALSE),"")</f>
        <v>0.34753585785625152</v>
      </c>
      <c r="K12" s="51">
        <f>IFERROR(VLOOKUP(_xlfn.CONCAT($B12," &amp; Tous porteurs &gt; Tous profils"),'Données brutes'!$A:$AY,MATCH(K$10,'Données brutes'!$A$1:$AY$1,0),FALSE),"")</f>
        <v>65.379628200124799</v>
      </c>
      <c r="L12" s="47">
        <f>IFERROR(VLOOKUP(_xlfn.CONCAT($B12," &amp; Tous porteurs &gt; Tous profils"),'Données brutes'!$A:$AY,MATCH(L$10,'Données brutes'!$A$1:$AY$1,0),FALSE),"")</f>
        <v>5.1805831541029468E-2</v>
      </c>
      <c r="M12" s="52">
        <f>IFERROR(VLOOKUP(_xlfn.CONCAT($B12," &amp; Tous porteurs &gt; Tous profils"),'Données brutes'!$A:$AY,MATCH(M$10,'Données brutes'!$A$1:$AY$1,0),FALSE),"")</f>
        <v>1.4201055253716979</v>
      </c>
      <c r="N12" s="47">
        <f>IFERROR(VLOOKUP(_xlfn.CONCAT($B12," &amp; Tous porteurs &gt; Tous profils"),'Données brutes'!$A:$AY,MATCH(N$10,'Données brutes'!$A$1:$AY$1,0),FALSE),"")</f>
        <v>2.6328034258792821E-2</v>
      </c>
      <c r="O12" s="51">
        <f>IFERROR(VLOOKUP(_xlfn.CONCAT($B12," &amp; Tous porteurs &gt; Tous profils"),'Données brutes'!$A:$AY,MATCH(O$10,'Données brutes'!$A$1:$AY$1,0),FALSE),"")</f>
        <v>46.038570396388231</v>
      </c>
      <c r="P12" s="47">
        <f>IFERROR(VLOOKUP(_xlfn.CONCAT($B12," &amp; Tous porteurs &gt; Tous profils"),'Données brutes'!$A:$AY,MATCH(P$10,'Données brutes'!$A$1:$AY$1,0),FALSE),"")</f>
        <v>2.4824224255587835E-2</v>
      </c>
      <c r="Q12" s="46">
        <f>IFERROR(VLOOKUP(_xlfn.CONCAT($B12," &amp; Tous porteurs &gt; Tous profils"),'Données brutes'!$A:$AY,MATCH(Q$10,'Données brutes'!$A$1:$AY$1,0),FALSE),"")</f>
        <v>8587065.8514864761</v>
      </c>
      <c r="R12" s="47">
        <f>IFERROR(VLOOKUP(_xlfn.CONCAT($B12," &amp; Tous porteurs &gt; Tous profils"),'Données brutes'!$A:$AY,MATCH(R$10,'Données brutes'!$A$1:$AY$1,0),FALSE),"")</f>
        <v>0.14963888017809146</v>
      </c>
      <c r="S12" s="49">
        <f>IFERROR(VLOOKUP(_xlfn.CONCAT($B12," &amp; Tous porteurs &gt; Tous profils"),'Données brutes'!$A:$AY,MATCH(S$10,'Données brutes'!$A$1:$AY$1,0),FALSE),"")</f>
        <v>3.482901162236398E-2</v>
      </c>
      <c r="T12" s="81">
        <f>IFERROR(VLOOKUP(_xlfn.CONCAT($B12," &amp; Tous porteurs &gt; Tous profils"),'Données brutes'!$A:$AY,MATCH(T$10,'Données brutes'!$A$1:$AY$1,0),FALSE),"")</f>
        <v>0.15791783729525513</v>
      </c>
      <c r="U12" s="42" t="s">
        <v>77</v>
      </c>
    </row>
    <row r="13" spans="1:21" x14ac:dyDescent="0.3">
      <c r="A13" s="80" t="str">
        <f t="shared" si="0"/>
        <v>Février 2023</v>
      </c>
      <c r="B13" s="45">
        <v>202302</v>
      </c>
      <c r="C13" s="46">
        <f>IFERROR(VLOOKUP(_xlfn.CONCAT($B13," &amp; Tous porteurs &gt; Tous profils"),'Données brutes'!$A:$AY,MATCH(C$10,'Données brutes'!$A$1:$AY$1,0),FALSE),"")</f>
        <v>231077650.72045037</v>
      </c>
      <c r="D13" s="47">
        <f>IFERROR(VLOOKUP(_xlfn.CONCAT($B13," &amp; Tous porteurs &gt; Tous profils"),'Données brutes'!$A:$AY,MATCH(D$10,'Données brutes'!$A$1:$AY$1,0),FALSE),"")</f>
        <v>0.10598826281590124</v>
      </c>
      <c r="E13" s="48">
        <f>IFERROR(VLOOKUP(_xlfn.CONCAT($B13," &amp; Tous porteurs &gt; Tous profils"),'Données brutes'!$A:$AY,MATCH(E$10,'Données brutes'!$A$1:$AY$1,0),FALSE),"")</f>
        <v>5027840.3153153146</v>
      </c>
      <c r="F13" s="47">
        <f>IFERROR(VLOOKUP(_xlfn.CONCAT($B13," &amp; Tous porteurs &gt; Tous profils"),'Données brutes'!$A:$AY,MATCH(F$10,'Données brutes'!$A$1:$AY$1,0),FALSE),"")</f>
        <v>6.9670577983405702E-2</v>
      </c>
      <c r="G13" s="48">
        <f>IFERROR(VLOOKUP(_xlfn.CONCAT($B13," &amp; Tous porteurs &gt; Tous profils"),'Données brutes'!$A:$AY,MATCH(G$10,'Données brutes'!$A$1:$AY$1,0),FALSE),"")</f>
        <v>3757904.25</v>
      </c>
      <c r="H13" s="47">
        <f>IFERROR(VLOOKUP(_xlfn.CONCAT($B13," &amp; Tous porteurs &gt; Tous profils"),'Données brutes'!$A:$AY,MATCH(H$10,'Données brutes'!$A$1:$AY$1,0),FALSE),"")</f>
        <v>4.6424068589582479E-2</v>
      </c>
      <c r="I13" s="49">
        <f>IFERROR(VLOOKUP(_xlfn.CONCAT($B13," &amp; Tous porteurs &gt; Tous profils"),'Données brutes'!$A:$AY,MATCH(I$10,'Données brutes'!$A$1:$AY$1,0),FALSE),"")</f>
        <v>0.77897795349759891</v>
      </c>
      <c r="J13" s="50">
        <f>IFERROR(VLOOKUP(_xlfn.CONCAT($B13," &amp; Tous porteurs &gt; Tous profils"),'Données brutes'!$A:$AY,MATCH(J$10,'Données brutes'!$A$1:$AY$1,0),FALSE),"")</f>
        <v>0.26442651412109663</v>
      </c>
      <c r="K13" s="51">
        <f>IFERROR(VLOOKUP(_xlfn.CONCAT($B13," &amp; Tous porteurs &gt; Tous profils"),'Données brutes'!$A:$AY,MATCH(K$10,'Données brutes'!$A$1:$AY$1,0),FALSE),"")</f>
        <v>61.491095926792276</v>
      </c>
      <c r="L13" s="47">
        <f>IFERROR(VLOOKUP(_xlfn.CONCAT($B13," &amp; Tous porteurs &gt; Tous profils"),'Données brutes'!$A:$AY,MATCH(L$10,'Données brutes'!$A$1:$AY$1,0),FALSE),"")</f>
        <v>5.6921659214702602E-2</v>
      </c>
      <c r="M13" s="52">
        <f>IFERROR(VLOOKUP(_xlfn.CONCAT($B13," &amp; Tous porteurs &gt; Tous profils"),'Données brutes'!$A:$AY,MATCH(M$10,'Données brutes'!$A$1:$AY$1,0),FALSE),"")</f>
        <v>1.3379373131487622</v>
      </c>
      <c r="N13" s="47">
        <f>IFERROR(VLOOKUP(_xlfn.CONCAT($B13," &amp; Tous porteurs &gt; Tous profils"),'Données brutes'!$A:$AY,MATCH(N$10,'Données brutes'!$A$1:$AY$1,0),FALSE),"")</f>
        <v>2.2215189894433385E-2</v>
      </c>
      <c r="O13" s="51">
        <f>IFERROR(VLOOKUP(_xlfn.CONCAT($B13," &amp; Tous porteurs &gt; Tous profils"),'Données brutes'!$A:$AY,MATCH(O$10,'Données brutes'!$A$1:$AY$1,0),FALSE),"")</f>
        <v>45.959624058975038</v>
      </c>
      <c r="P13" s="47">
        <f>IFERROR(VLOOKUP(_xlfn.CONCAT($B13," &amp; Tous porteurs &gt; Tous profils"),'Données brutes'!$A:$AY,MATCH(P$10,'Données brutes'!$A$1:$AY$1,0),FALSE),"")</f>
        <v>3.3952214429383787E-2</v>
      </c>
      <c r="Q13" s="46">
        <f>IFERROR(VLOOKUP(_xlfn.CONCAT($B13," &amp; Tous porteurs &gt; Tous profils"),'Données brutes'!$A:$AY,MATCH(Q$10,'Données brutes'!$A$1:$AY$1,0),FALSE),"")</f>
        <v>5586710.7211369341</v>
      </c>
      <c r="R13" s="47">
        <f>IFERROR(VLOOKUP(_xlfn.CONCAT($B13," &amp; Tous porteurs &gt; Tous profils"),'Données brutes'!$A:$AY,MATCH(R$10,'Données brutes'!$A$1:$AY$1,0),FALSE),"")</f>
        <v>4.2154492610513072E-2</v>
      </c>
      <c r="S13" s="49">
        <f>IFERROR(VLOOKUP(_xlfn.CONCAT($B13," &amp; Tous porteurs &gt; Tous profils"),'Données brutes'!$A:$AY,MATCH(S$10,'Données brutes'!$A$1:$AY$1,0),FALSE),"")</f>
        <v>2.4176767868804155E-2</v>
      </c>
      <c r="T13" s="81">
        <f>IFERROR(VLOOKUP(_xlfn.CONCAT($B13," &amp; Tous porteurs &gt; Tous profils"),'Données brutes'!$A:$AY,MATCH(T$10,'Données brutes'!$A$1:$AY$1,0),FALSE),"")</f>
        <v>-0.14808689646200468</v>
      </c>
      <c r="U13" s="42" t="s">
        <v>78</v>
      </c>
    </row>
    <row r="14" spans="1:21" x14ac:dyDescent="0.3">
      <c r="A14" s="80" t="str">
        <f t="shared" si="0"/>
        <v>Mars 2023</v>
      </c>
      <c r="B14" s="45">
        <v>202303</v>
      </c>
      <c r="C14" s="46">
        <f>IFERROR(VLOOKUP(_xlfn.CONCAT($B14," &amp; Tous porteurs &gt; Tous profils"),'Données brutes'!$A:$AY,MATCH(C$10,'Données brutes'!$A$1:$AY$1,0),FALSE),"")</f>
        <v>265540379.53108105</v>
      </c>
      <c r="D14" s="47">
        <f>IFERROR(VLOOKUP(_xlfn.CONCAT($B14," &amp; Tous porteurs &gt; Tous profils"),'Données brutes'!$A:$AY,MATCH(D$10,'Données brutes'!$A$1:$AY$1,0),FALSE),"")</f>
        <v>9.582798761486333E-2</v>
      </c>
      <c r="E14" s="48">
        <f>IFERROR(VLOOKUP(_xlfn.CONCAT($B14," &amp; Tous porteurs &gt; Tous profils"),'Données brutes'!$A:$AY,MATCH(E$10,'Données brutes'!$A$1:$AY$1,0),FALSE),"")</f>
        <v>5691992.3423423423</v>
      </c>
      <c r="F14" s="47">
        <f>IFERROR(VLOOKUP(_xlfn.CONCAT($B14," &amp; Tous porteurs &gt; Tous profils"),'Données brutes'!$A:$AY,MATCH(F$10,'Données brutes'!$A$1:$AY$1,0),FALSE),"")</f>
        <v>7.1884737270299981E-2</v>
      </c>
      <c r="G14" s="48">
        <f>IFERROR(VLOOKUP(_xlfn.CONCAT($B14," &amp; Tous porteurs &gt; Tous profils"),'Données brutes'!$A:$AY,MATCH(G$10,'Données brutes'!$A$1:$AY$1,0),FALSE),"")</f>
        <v>3868860.75</v>
      </c>
      <c r="H14" s="47">
        <f>IFERROR(VLOOKUP(_xlfn.CONCAT($B14," &amp; Tous porteurs &gt; Tous profils"),'Données brutes'!$A:$AY,MATCH(H$10,'Données brutes'!$A$1:$AY$1,0),FALSE),"")</f>
        <v>4.8471108655828044E-2</v>
      </c>
      <c r="I14" s="49">
        <f>IFERROR(VLOOKUP(_xlfn.CONCAT($B14," &amp; Tous porteurs &gt; Tous profils"),'Données brutes'!$A:$AY,MATCH(I$10,'Données brutes'!$A$1:$AY$1,0),FALSE),"")</f>
        <v>0.79032490083336082</v>
      </c>
      <c r="J14" s="50">
        <f>IFERROR(VLOOKUP(_xlfn.CONCAT($B14," &amp; Tous porteurs &gt; Tous profils"),'Données brutes'!$A:$AY,MATCH(J$10,'Données brutes'!$A$1:$AY$1,0),FALSE),"")</f>
        <v>0.13236514089521867</v>
      </c>
      <c r="K14" s="51">
        <f>IFERROR(VLOOKUP(_xlfn.CONCAT($B14," &amp; Tous porteurs &gt; Tous profils"),'Données brutes'!$A:$AY,MATCH(K$10,'Données brutes'!$A$1:$AY$1,0),FALSE),"")</f>
        <v>68.635289996178088</v>
      </c>
      <c r="L14" s="47">
        <f>IFERROR(VLOOKUP(_xlfn.CONCAT($B14," &amp; Tous porteurs &gt; Tous profils"),'Données brutes'!$A:$AY,MATCH(L$10,'Données brutes'!$A$1:$AY$1,0),FALSE),"")</f>
        <v>4.516755737766398E-2</v>
      </c>
      <c r="M14" s="52">
        <f>IFERROR(VLOOKUP(_xlfn.CONCAT($B14," &amp; Tous porteurs &gt; Tous profils"),'Données brutes'!$A:$AY,MATCH(M$10,'Données brutes'!$A$1:$AY$1,0),FALSE),"")</f>
        <v>1.4712321559627966</v>
      </c>
      <c r="N14" s="47">
        <f>IFERROR(VLOOKUP(_xlfn.CONCAT($B14," &amp; Tous porteurs &gt; Tous profils"),'Données brutes'!$A:$AY,MATCH(N$10,'Données brutes'!$A$1:$AY$1,0),FALSE),"")</f>
        <v>2.2331210103146093E-2</v>
      </c>
      <c r="O14" s="51">
        <f>IFERROR(VLOOKUP(_xlfn.CONCAT($B14," &amp; Tous porteurs &gt; Tous profils"),'Données brutes'!$A:$AY,MATCH(O$10,'Données brutes'!$A$1:$AY$1,0),FALSE),"")</f>
        <v>46.651570058473958</v>
      </c>
      <c r="P14" s="47">
        <f>IFERROR(VLOOKUP(_xlfn.CONCAT($B14," &amp; Tous porteurs &gt; Tous profils"),'Données brutes'!$A:$AY,MATCH(P$10,'Données brutes'!$A$1:$AY$1,0),FALSE),"")</f>
        <v>2.2337523347461863E-2</v>
      </c>
      <c r="Q14" s="46">
        <f>IFERROR(VLOOKUP(_xlfn.CONCAT($B14," &amp; Tous porteurs &gt; Tous profils"),'Données brutes'!$A:$AY,MATCH(Q$10,'Données brutes'!$A$1:$AY$1,0),FALSE),"")</f>
        <v>7131727.4052477386</v>
      </c>
      <c r="R14" s="47">
        <f>IFERROR(VLOOKUP(_xlfn.CONCAT($B14," &amp; Tous porteurs &gt; Tous profils"),'Données brutes'!$A:$AY,MATCH(R$10,'Données brutes'!$A$1:$AY$1,0),FALSE),"")</f>
        <v>0.11457075507735603</v>
      </c>
      <c r="S14" s="49">
        <f>IFERROR(VLOOKUP(_xlfn.CONCAT($B14," &amp; Tous porteurs &gt; Tous profils"),'Données brutes'!$A:$AY,MATCH(S$10,'Données brutes'!$A$1:$AY$1,0),FALSE),"")</f>
        <v>2.6857412111264162E-2</v>
      </c>
      <c r="T14" s="81">
        <f>IFERROR(VLOOKUP(_xlfn.CONCAT($B14," &amp; Tous porteurs &gt; Tous profils"),'Données brutes'!$A:$AY,MATCH(T$10,'Données brutes'!$A$1:$AY$1,0),FALSE),"")</f>
        <v>4.5163775162108954E-2</v>
      </c>
      <c r="U14" s="42" t="s">
        <v>79</v>
      </c>
    </row>
    <row r="15" spans="1:21" x14ac:dyDescent="0.3">
      <c r="A15" s="80" t="str">
        <f t="shared" si="0"/>
        <v>Avril 2023</v>
      </c>
      <c r="B15" s="45">
        <v>202304</v>
      </c>
      <c r="C15" s="46">
        <f>IFERROR(VLOOKUP(_xlfn.CONCAT($B15," &amp; Tous porteurs &gt; Tous profils"),'Données brutes'!$A:$AY,MATCH(C$10,'Données brutes'!$A$1:$AY$1,0),FALSE),"")</f>
        <v>275162577.75855827</v>
      </c>
      <c r="D15" s="47">
        <f>IFERROR(VLOOKUP(_xlfn.CONCAT($B15," &amp; Tous porteurs &gt; Tous profils"),'Données brutes'!$A:$AY,MATCH(D$10,'Données brutes'!$A$1:$AY$1,0),FALSE),"")</f>
        <v>0.11407249154733123</v>
      </c>
      <c r="E15" s="48">
        <f>IFERROR(VLOOKUP(_xlfn.CONCAT($B15," &amp; Tous porteurs &gt; Tous profils"),'Données brutes'!$A:$AY,MATCH(E$10,'Données brutes'!$A$1:$AY$1,0),FALSE),"")</f>
        <v>5594111.036036036</v>
      </c>
      <c r="F15" s="47">
        <f>IFERROR(VLOOKUP(_xlfn.CONCAT($B15," &amp; Tous porteurs &gt; Tous profils"),'Données brutes'!$A:$AY,MATCH(F$10,'Données brutes'!$A$1:$AY$1,0),FALSE),"")</f>
        <v>5.4372366467839717E-2</v>
      </c>
      <c r="G15" s="48">
        <f>IFERROR(VLOOKUP(_xlfn.CONCAT($B15," &amp; Tous porteurs &gt; Tous profils"),'Données brutes'!$A:$AY,MATCH(G$10,'Données brutes'!$A$1:$AY$1,0),FALSE),"")</f>
        <v>3934875</v>
      </c>
      <c r="H15" s="47">
        <f>IFERROR(VLOOKUP(_xlfn.CONCAT($B15," &amp; Tous porteurs &gt; Tous profils"),'Données brutes'!$A:$AY,MATCH(H$10,'Données brutes'!$A$1:$AY$1,0),FALSE),"")</f>
        <v>5.3714219608785196E-2</v>
      </c>
      <c r="I15" s="49">
        <f>IFERROR(VLOOKUP(_xlfn.CONCAT($B15," &amp; Tous porteurs &gt; Tous profils"),'Données brutes'!$A:$AY,MATCH(I$10,'Données brutes'!$A$1:$AY$1,0),FALSE),"")</f>
        <v>0.78030663930068833</v>
      </c>
      <c r="J15" s="50">
        <f>IFERROR(VLOOKUP(_xlfn.CONCAT($B15," &amp; Tous porteurs &gt; Tous profils"),'Données brutes'!$A:$AY,MATCH(J$10,'Données brutes'!$A$1:$AY$1,0),FALSE),"")</f>
        <v>0.88944497914283938</v>
      </c>
      <c r="K15" s="51">
        <f>IFERROR(VLOOKUP(_xlfn.CONCAT($B15," &amp; Tous porteurs &gt; Tous profils"),'Données brutes'!$A:$AY,MATCH(K$10,'Données brutes'!$A$1:$AY$1,0),FALSE),"")</f>
        <v>69.929178883333847</v>
      </c>
      <c r="L15" s="47">
        <f>IFERROR(VLOOKUP(_xlfn.CONCAT($B15," &amp; Tous porteurs &gt; Tous profils"),'Données brutes'!$A:$AY,MATCH(L$10,'Données brutes'!$A$1:$AY$1,0),FALSE),"")</f>
        <v>5.7281443882341909E-2</v>
      </c>
      <c r="M15" s="52">
        <f>IFERROR(VLOOKUP(_xlfn.CONCAT($B15," &amp; Tous porteurs &gt; Tous profils"),'Données brutes'!$A:$AY,MATCH(M$10,'Données brutes'!$A$1:$AY$1,0),FALSE),"")</f>
        <v>1.4216743952567834</v>
      </c>
      <c r="N15" s="47">
        <f>IFERROR(VLOOKUP(_xlfn.CONCAT($B15," &amp; Tous porteurs &gt; Tous profils"),'Données brutes'!$A:$AY,MATCH(N$10,'Données brutes'!$A$1:$AY$1,0),FALSE),"")</f>
        <v>6.2459711258222583E-4</v>
      </c>
      <c r="O15" s="51">
        <f>IFERROR(VLOOKUP(_xlfn.CONCAT($B15," &amp; Tous porteurs &gt; Tous profils"),'Données brutes'!$A:$AY,MATCH(O$10,'Données brutes'!$A$1:$AY$1,0),FALSE),"")</f>
        <v>49.187900630863652</v>
      </c>
      <c r="P15" s="47">
        <f>IFERROR(VLOOKUP(_xlfn.CONCAT($B15," &amp; Tous porteurs &gt; Tous profils"),'Données brutes'!$A:$AY,MATCH(P$10,'Données brutes'!$A$1:$AY$1,0),FALSE),"")</f>
        <v>5.662148115611898E-2</v>
      </c>
      <c r="Q15" s="46">
        <f>IFERROR(VLOOKUP(_xlfn.CONCAT($B15," &amp; Tous porteurs &gt; Tous profils"),'Données brutes'!$A:$AY,MATCH(Q$10,'Données brutes'!$A$1:$AY$1,0),FALSE),"")</f>
        <v>5833100.147837841</v>
      </c>
      <c r="R15" s="47">
        <f>IFERROR(VLOOKUP(_xlfn.CONCAT($B15," &amp; Tous porteurs &gt; Tous profils"),'Données brutes'!$A:$AY,MATCH(R$10,'Données brutes'!$A$1:$AY$1,0),FALSE),"")</f>
        <v>5.8109594521169594E-3</v>
      </c>
      <c r="S15" s="49">
        <f>IFERROR(VLOOKUP(_xlfn.CONCAT($B15," &amp; Tous porteurs &gt; Tous profils"),'Données brutes'!$A:$AY,MATCH(S$10,'Données brutes'!$A$1:$AY$1,0),FALSE),"")</f>
        <v>2.1198740742122649E-2</v>
      </c>
      <c r="T15" s="81">
        <f>IFERROR(VLOOKUP(_xlfn.CONCAT($B15," &amp; Tous porteurs &gt; Tous profils"),'Données brutes'!$A:$AY,MATCH(T$10,'Données brutes'!$A$1:$AY$1,0),FALSE),"")</f>
        <v>-0.22817490003107266</v>
      </c>
      <c r="U15" s="42" t="s">
        <v>80</v>
      </c>
    </row>
    <row r="16" spans="1:21" x14ac:dyDescent="0.3">
      <c r="A16" s="80" t="str">
        <f t="shared" si="0"/>
        <v>Mai 2023</v>
      </c>
      <c r="B16" s="45">
        <v>202305</v>
      </c>
      <c r="C16" s="46">
        <f>IFERROR(VLOOKUP(_xlfn.CONCAT($B16," &amp; Tous porteurs &gt; Tous profils"),'Données brutes'!$A:$AY,MATCH(C$10,'Données brutes'!$A$1:$AY$1,0),FALSE),"")</f>
        <v>268454132.63301808</v>
      </c>
      <c r="D16" s="47">
        <f>IFERROR(VLOOKUP(_xlfn.CONCAT($B16," &amp; Tous porteurs &gt; Tous profils"),'Données brutes'!$A:$AY,MATCH(D$10,'Données brutes'!$A$1:$AY$1,0),FALSE),"")</f>
        <v>0.12972416552835275</v>
      </c>
      <c r="E16" s="48">
        <f>IFERROR(VLOOKUP(_xlfn.CONCAT($B16," &amp; Tous porteurs &gt; Tous profils"),'Données brutes'!$A:$AY,MATCH(E$10,'Données brutes'!$A$1:$AY$1,0),FALSE),"")</f>
        <v>5506165.9909909908</v>
      </c>
      <c r="F16" s="47">
        <f>IFERROR(VLOOKUP(_xlfn.CONCAT($B16," &amp; Tous porteurs &gt; Tous profils"),'Données brutes'!$A:$AY,MATCH(F$10,'Données brutes'!$A$1:$AY$1,0),FALSE),"")</f>
        <v>5.8046687326685609E-2</v>
      </c>
      <c r="G16" s="48">
        <f>IFERROR(VLOOKUP(_xlfn.CONCAT($B16," &amp; Tous porteurs &gt; Tous profils"),'Données brutes'!$A:$AY,MATCH(G$10,'Données brutes'!$A$1:$AY$1,0),FALSE),"")</f>
        <v>3889272</v>
      </c>
      <c r="H16" s="47">
        <f>IFERROR(VLOOKUP(_xlfn.CONCAT($B16," &amp; Tous porteurs &gt; Tous profils"),'Données brutes'!$A:$AY,MATCH(H$10,'Données brutes'!$A$1:$AY$1,0),FALSE),"")</f>
        <v>4.823603632777318E-2</v>
      </c>
      <c r="I16" s="49">
        <f>IFERROR(VLOOKUP(_xlfn.CONCAT($B16," &amp; Tous porteurs &gt; Tous profils"),'Données brutes'!$A:$AY,MATCH(I$10,'Données brutes'!$A$1:$AY$1,0),FALSE),"")</f>
        <v>0.77103069361498511</v>
      </c>
      <c r="J16" s="50">
        <f>IFERROR(VLOOKUP(_xlfn.CONCAT($B16," &amp; Tous porteurs &gt; Tous profils"),'Données brutes'!$A:$AY,MATCH(J$10,'Données brutes'!$A$1:$AY$1,0),FALSE),"")</f>
        <v>1.2839357396199458</v>
      </c>
      <c r="K16" s="51">
        <f>IFERROR(VLOOKUP(_xlfn.CONCAT($B16," &amp; Tous porteurs &gt; Tous profils"),'Données brutes'!$A:$AY,MATCH(K$10,'Données brutes'!$A$1:$AY$1,0),FALSE),"")</f>
        <v>69.024262801114986</v>
      </c>
      <c r="L16" s="47">
        <f>IFERROR(VLOOKUP(_xlfn.CONCAT($B16," &amp; Tous porteurs &gt; Tous profils"),'Données brutes'!$A:$AY,MATCH(L$10,'Données brutes'!$A$1:$AY$1,0),FALSE),"")</f>
        <v>7.773833981710121E-2</v>
      </c>
      <c r="M16" s="52">
        <f>IFERROR(VLOOKUP(_xlfn.CONCAT($B16," &amp; Tous porteurs &gt; Tous profils"),'Données brutes'!$A:$AY,MATCH(M$10,'Données brutes'!$A$1:$AY$1,0),FALSE),"")</f>
        <v>1.4157317850206905</v>
      </c>
      <c r="N16" s="47">
        <f>IFERROR(VLOOKUP(_xlfn.CONCAT($B16," &amp; Tous porteurs &gt; Tous profils"),'Données brutes'!$A:$AY,MATCH(N$10,'Données brutes'!$A$1:$AY$1,0),FALSE),"")</f>
        <v>9.3592002744742331E-3</v>
      </c>
      <c r="O16" s="51">
        <f>IFERROR(VLOOKUP(_xlfn.CONCAT($B16," &amp; Tous porteurs &gt; Tous profils"),'Données brutes'!$A:$AY,MATCH(O$10,'Données brutes'!$A$1:$AY$1,0),FALSE),"")</f>
        <v>48.755183383910691</v>
      </c>
      <c r="P16" s="47">
        <f>IFERROR(VLOOKUP(_xlfn.CONCAT($B16," &amp; Tous porteurs &gt; Tous profils"),'Données brutes'!$A:$AY,MATCH(P$10,'Données brutes'!$A$1:$AY$1,0),FALSE),"")</f>
        <v>6.7745099587969149E-2</v>
      </c>
      <c r="Q16" s="46">
        <f>IFERROR(VLOOKUP(_xlfn.CONCAT($B16," &amp; Tous porteurs &gt; Tous profils"),'Données brutes'!$A:$AY,MATCH(Q$10,'Données brutes'!$A$1:$AY$1,0),FALSE),"")</f>
        <v>5166951.6314414525</v>
      </c>
      <c r="R16" s="47">
        <f>IFERROR(VLOOKUP(_xlfn.CONCAT($B16," &amp; Tous porteurs &gt; Tous profils"),'Données brutes'!$A:$AY,MATCH(R$10,'Données brutes'!$A$1:$AY$1,0),FALSE),"")</f>
        <v>-8.3103385018191367E-2</v>
      </c>
      <c r="S16" s="49">
        <f>IFERROR(VLOOKUP(_xlfn.CONCAT($B16," &amp; Tous porteurs &gt; Tous profils"),'Données brutes'!$A:$AY,MATCH(S$10,'Données brutes'!$A$1:$AY$1,0),FALSE),"")</f>
        <v>1.9247055654400276E-2</v>
      </c>
      <c r="T16" s="81">
        <f>IFERROR(VLOOKUP(_xlfn.CONCAT($B16," &amp; Tous porteurs &gt; Tous profils"),'Données brutes'!$A:$AY,MATCH(T$10,'Données brutes'!$A$1:$AY$1,0),FALSE),"")</f>
        <v>-0.4467574253440007</v>
      </c>
      <c r="U16" s="42" t="s">
        <v>81</v>
      </c>
    </row>
    <row r="17" spans="1:21" x14ac:dyDescent="0.3">
      <c r="A17" s="80" t="str">
        <f t="shared" si="0"/>
        <v>Juin 2023</v>
      </c>
      <c r="B17" s="45">
        <v>202306</v>
      </c>
      <c r="C17" s="46">
        <f>IFERROR(VLOOKUP(_xlfn.CONCAT($B17," &amp; Tous porteurs &gt; Tous profils"),'Données brutes'!$A:$AY,MATCH(C$10,'Données brutes'!$A$1:$AY$1,0),FALSE),"")</f>
        <v>277874000.55675656</v>
      </c>
      <c r="D17" s="47">
        <f>IFERROR(VLOOKUP(_xlfn.CONCAT($B17," &amp; Tous porteurs &gt; Tous profils"),'Données brutes'!$A:$AY,MATCH(D$10,'Données brutes'!$A$1:$AY$1,0),FALSE),"")</f>
        <v>0.15232046580072267</v>
      </c>
      <c r="E17" s="48">
        <f>IFERROR(VLOOKUP(_xlfn.CONCAT($B17," &amp; Tous porteurs &gt; Tous profils"),'Données brutes'!$A:$AY,MATCH(E$10,'Données brutes'!$A$1:$AY$1,0),FALSE),"")</f>
        <v>5719750.4504504502</v>
      </c>
      <c r="F17" s="47">
        <f>IFERROR(VLOOKUP(_xlfn.CONCAT($B17," &amp; Tous porteurs &gt; Tous profils"),'Données brutes'!$A:$AY,MATCH(F$10,'Données brutes'!$A$1:$AY$1,0),FALSE),"")</f>
        <v>8.9703940720347708E-2</v>
      </c>
      <c r="G17" s="48">
        <f>IFERROR(VLOOKUP(_xlfn.CONCAT($B17," &amp; Tous porteurs &gt; Tous profils"),'Données brutes'!$A:$AY,MATCH(G$10,'Données brutes'!$A$1:$AY$1,0),FALSE),"")</f>
        <v>3912485.25</v>
      </c>
      <c r="H17" s="47">
        <f>IFERROR(VLOOKUP(_xlfn.CONCAT($B17," &amp; Tous porteurs &gt; Tous profils"),'Données brutes'!$A:$AY,MATCH(H$10,'Données brutes'!$A$1:$AY$1,0),FALSE),"")</f>
        <v>5.2289858603984607E-2</v>
      </c>
      <c r="I17" s="49">
        <f>IFERROR(VLOOKUP(_xlfn.CONCAT($B17," &amp; Tous porteurs &gt; Tous profils"),'Données brutes'!$A:$AY,MATCH(I$10,'Données brutes'!$A$1:$AY$1,0),FALSE),"")</f>
        <v>0.76317205770179852</v>
      </c>
      <c r="J17" s="50">
        <f>IFERROR(VLOOKUP(_xlfn.CONCAT($B17," &amp; Tous porteurs &gt; Tous profils"),'Données brutes'!$A:$AY,MATCH(J$10,'Données brutes'!$A$1:$AY$1,0),FALSE),"")</f>
        <v>0.82268127438173133</v>
      </c>
      <c r="K17" s="51">
        <f>IFERROR(VLOOKUP(_xlfn.CONCAT($B17," &amp; Tous porteurs &gt; Tous profils"),'Données brutes'!$A:$AY,MATCH(K$10,'Données brutes'!$A$1:$AY$1,0),FALSE),"")</f>
        <v>71.02237652059047</v>
      </c>
      <c r="L17" s="47">
        <f>IFERROR(VLOOKUP(_xlfn.CONCAT($B17," &amp; Tous porteurs &gt; Tous profils"),'Données brutes'!$A:$AY,MATCH(L$10,'Données brutes'!$A$1:$AY$1,0),FALSE),"")</f>
        <v>9.5059936555354385E-2</v>
      </c>
      <c r="M17" s="52">
        <f>IFERROR(VLOOKUP(_xlfn.CONCAT($B17," &amp; Tous porteurs &gt; Tous profils"),'Données brutes'!$A:$AY,MATCH(M$10,'Données brutes'!$A$1:$AY$1,0),FALSE),"")</f>
        <v>1.461922559439796</v>
      </c>
      <c r="N17" s="47">
        <f>IFERROR(VLOOKUP(_xlfn.CONCAT($B17," &amp; Tous porteurs &gt; Tous profils"),'Données brutes'!$A:$AY,MATCH(N$10,'Données brutes'!$A$1:$AY$1,0),FALSE),"")</f>
        <v>3.5554920358158881E-2</v>
      </c>
      <c r="O17" s="51">
        <f>IFERROR(VLOOKUP(_xlfn.CONCAT($B17," &amp; Tous porteurs &gt; Tous profils"),'Données brutes'!$A:$AY,MATCH(O$10,'Données brutes'!$A$1:$AY$1,0),FALSE),"")</f>
        <v>48.581490217789664</v>
      </c>
      <c r="P17" s="47">
        <f>IFERROR(VLOOKUP(_xlfn.CONCAT($B17," &amp; Tous porteurs &gt; Tous profils"),'Données brutes'!$A:$AY,MATCH(P$10,'Données brutes'!$A$1:$AY$1,0),FALSE),"")</f>
        <v>5.7461960758793174E-2</v>
      </c>
      <c r="Q17" s="46">
        <f>IFERROR(VLOOKUP(_xlfn.CONCAT($B17," &amp; Tous porteurs &gt; Tous profils"),'Données brutes'!$A:$AY,MATCH(Q$10,'Données brutes'!$A$1:$AY$1,0),FALSE),"")</f>
        <v>6333596.2388738729</v>
      </c>
      <c r="R17" s="47">
        <f>IFERROR(VLOOKUP(_xlfn.CONCAT($B17," &amp; Tous porteurs &gt; Tous profils"),'Données brutes'!$A:$AY,MATCH(R$10,'Données brutes'!$A$1:$AY$1,0),FALSE),"")</f>
        <v>6.2631753540654866E-2</v>
      </c>
      <c r="S17" s="49">
        <f>IFERROR(VLOOKUP(_xlfn.CONCAT($B17," &amp; Tous porteurs &gt; Tous profils"),'Données brutes'!$A:$AY,MATCH(S$10,'Données brutes'!$A$1:$AY$1,0),FALSE),"")</f>
        <v>2.2793050901429038E-2</v>
      </c>
      <c r="T17" s="81">
        <f>IFERROR(VLOOKUP(_xlfn.CONCAT($B17," &amp; Tous porteurs &gt; Tous profils"),'Données brutes'!$A:$AY,MATCH(T$10,'Données brutes'!$A$1:$AY$1,0),FALSE),"")</f>
        <v>-0.19237890991078249</v>
      </c>
      <c r="U17" s="42" t="s">
        <v>82</v>
      </c>
    </row>
    <row r="18" spans="1:21" x14ac:dyDescent="0.3">
      <c r="A18" s="80" t="str">
        <f t="shared" si="0"/>
        <v>Juillet 2023</v>
      </c>
      <c r="B18" s="45">
        <v>202307</v>
      </c>
      <c r="C18" s="46">
        <f>IFERROR(VLOOKUP(_xlfn.CONCAT($B18," &amp; Tous porteurs &gt; Tous profils"),'Données brutes'!$A:$AY,MATCH(C$10,'Données brutes'!$A$1:$AY$1,0),FALSE),"")</f>
        <v>275727600.6523425</v>
      </c>
      <c r="D18" s="47">
        <f>IFERROR(VLOOKUP(_xlfn.CONCAT($B18," &amp; Tous porteurs &gt; Tous profils"),'Données brutes'!$A:$AY,MATCH(D$10,'Données brutes'!$A$1:$AY$1,0),FALSE),"")</f>
        <v>0.10003921787660519</v>
      </c>
      <c r="E18" s="48">
        <f>IFERROR(VLOOKUP(_xlfn.CONCAT($B18," &amp; Tous porteurs &gt; Tous profils"),'Données brutes'!$A:$AY,MATCH(E$10,'Données brutes'!$A$1:$AY$1,0),FALSE),"")</f>
        <v>5704154.7297297288</v>
      </c>
      <c r="F18" s="47">
        <f>IFERROR(VLOOKUP(_xlfn.CONCAT($B18," &amp; Tous porteurs &gt; Tous profils"),'Données brutes'!$A:$AY,MATCH(F$10,'Données brutes'!$A$1:$AY$1,0),FALSE),"")</f>
        <v>6.5260009328326207E-2</v>
      </c>
      <c r="G18" s="48">
        <f>IFERROR(VLOOKUP(_xlfn.CONCAT($B18," &amp; Tous porteurs &gt; Tous profils"),'Données brutes'!$A:$AY,MATCH(G$10,'Données brutes'!$A$1:$AY$1,0),FALSE),"")</f>
        <v>3922956</v>
      </c>
      <c r="H18" s="47">
        <f>IFERROR(VLOOKUP(_xlfn.CONCAT($B18," &amp; Tous porteurs &gt; Tous profils"),'Données brutes'!$A:$AY,MATCH(H$10,'Données brutes'!$A$1:$AY$1,0),FALSE),"")</f>
        <v>5.2311083329930064E-2</v>
      </c>
      <c r="I18" s="49">
        <f>IFERROR(VLOOKUP(_xlfn.CONCAT($B18," &amp; Tous porteurs &gt; Tous profils"),'Données brutes'!$A:$AY,MATCH(I$10,'Données brutes'!$A$1:$AY$1,0),FALSE),"")</f>
        <v>0.71480754911870326</v>
      </c>
      <c r="J18" s="50">
        <f>IFERROR(VLOOKUP(_xlfn.CONCAT($B18," &amp; Tous porteurs &gt; Tous profils"),'Données brutes'!$A:$AY,MATCH(J$10,'Données brutes'!$A$1:$AY$1,0),FALSE),"")</f>
        <v>1.1353966075808297</v>
      </c>
      <c r="K18" s="51">
        <f>IFERROR(VLOOKUP(_xlfn.CONCAT($B18," &amp; Tous porteurs &gt; Tous profils"),'Données brutes'!$A:$AY,MATCH(K$10,'Données brutes'!$A$1:$AY$1,0),FALSE),"")</f>
        <v>70.285672501129881</v>
      </c>
      <c r="L18" s="47">
        <f>IFERROR(VLOOKUP(_xlfn.CONCAT($B18," &amp; Tous porteurs &gt; Tous profils"),'Données brutes'!$A:$AY,MATCH(L$10,'Données brutes'!$A$1:$AY$1,0),FALSE),"")</f>
        <v>4.5355537257713019E-2</v>
      </c>
      <c r="M18" s="52">
        <f>IFERROR(VLOOKUP(_xlfn.CONCAT($B18," &amp; Tous porteurs &gt; Tous profils"),'Données brutes'!$A:$AY,MATCH(M$10,'Données brutes'!$A$1:$AY$1,0),FALSE),"")</f>
        <v>1.4540450440254056</v>
      </c>
      <c r="N18" s="47">
        <f>IFERROR(VLOOKUP(_xlfn.CONCAT($B18," &amp; Tous porteurs &gt; Tous profils"),'Données brutes'!$A:$AY,MATCH(N$10,'Données brutes'!$A$1:$AY$1,0),FALSE),"")</f>
        <v>1.2305226281016379E-2</v>
      </c>
      <c r="O18" s="51">
        <f>IFERROR(VLOOKUP(_xlfn.CONCAT($B18," &amp; Tous porteurs &gt; Tous profils"),'Données brutes'!$A:$AY,MATCH(O$10,'Données brutes'!$A$1:$AY$1,0),FALSE),"")</f>
        <v>48.338029684795536</v>
      </c>
      <c r="P18" s="47">
        <f>IFERROR(VLOOKUP(_xlfn.CONCAT($B18," &amp; Tous porteurs &gt; Tous profils"),'Données brutes'!$A:$AY,MATCH(P$10,'Données brutes'!$A$1:$AY$1,0),FALSE),"")</f>
        <v>3.2648563020973631E-2</v>
      </c>
      <c r="Q18" s="46">
        <f>IFERROR(VLOOKUP(_xlfn.CONCAT($B18," &amp; Tous porteurs &gt; Tous profils"),'Données brutes'!$A:$AY,MATCH(Q$10,'Données brutes'!$A$1:$AY$1,0),FALSE),"")</f>
        <v>3714764.2237749952</v>
      </c>
      <c r="R18" s="47">
        <f>IFERROR(VLOOKUP(_xlfn.CONCAT($B18," &amp; Tous porteurs &gt; Tous profils"),'Données brutes'!$A:$AY,MATCH(R$10,'Données brutes'!$A$1:$AY$1,0),FALSE),"")</f>
        <v>-0.23167645524252312</v>
      </c>
      <c r="S18" s="49">
        <f>IFERROR(VLOOKUP(_xlfn.CONCAT($B18," &amp; Tous porteurs &gt; Tous profils"),'Données brutes'!$A:$AY,MATCH(S$10,'Données brutes'!$A$1:$AY$1,0),FALSE),"")</f>
        <v>1.3472587492098193E-2</v>
      </c>
      <c r="T18" s="81">
        <f>IFERROR(VLOOKUP(_xlfn.CONCAT($B18," &amp; Tous porteurs &gt; Tous profils"),'Données brutes'!$A:$AY,MATCH(T$10,'Données brutes'!$A$1:$AY$1,0),FALSE),"")</f>
        <v>-0.58166490654771896</v>
      </c>
      <c r="U18" s="42" t="s">
        <v>83</v>
      </c>
    </row>
    <row r="19" spans="1:21" x14ac:dyDescent="0.3">
      <c r="A19" s="80" t="str">
        <f t="shared" si="0"/>
        <v>Août 2023</v>
      </c>
      <c r="B19" s="45">
        <v>202308</v>
      </c>
      <c r="C19" s="46">
        <f>IFERROR(VLOOKUP(_xlfn.CONCAT($B19," &amp; Tous porteurs &gt; Tous profils"),'Données brutes'!$A:$AY,MATCH(C$10,'Données brutes'!$A$1:$AY$1,0),FALSE),"")</f>
        <v>276044848.79891914</v>
      </c>
      <c r="D19" s="47">
        <f>IFERROR(VLOOKUP(_xlfn.CONCAT($B19," &amp; Tous porteurs &gt; Tous profils"),'Données brutes'!$A:$AY,MATCH(D$10,'Données brutes'!$A$1:$AY$1,0),FALSE),"")</f>
        <v>0.10417293788848525</v>
      </c>
      <c r="E19" s="48">
        <f>IFERROR(VLOOKUP(_xlfn.CONCAT($B19," &amp; Tous porteurs &gt; Tous profils"),'Données brutes'!$A:$AY,MATCH(E$10,'Données brutes'!$A$1:$AY$1,0),FALSE),"")</f>
        <v>5723399.3243243238</v>
      </c>
      <c r="F19" s="47">
        <f>IFERROR(VLOOKUP(_xlfn.CONCAT($B19," &amp; Tous porteurs &gt; Tous profils"),'Données brutes'!$A:$AY,MATCH(F$10,'Données brutes'!$A$1:$AY$1,0),FALSE),"")</f>
        <v>6.8826994447266365E-2</v>
      </c>
      <c r="G19" s="48">
        <f>IFERROR(VLOOKUP(_xlfn.CONCAT($B19," &amp; Tous porteurs &gt; Tous profils"),'Données brutes'!$A:$AY,MATCH(G$10,'Données brutes'!$A$1:$AY$1,0),FALSE),"")</f>
        <v>3914836.5</v>
      </c>
      <c r="H19" s="47">
        <f>IFERROR(VLOOKUP(_xlfn.CONCAT($B19," &amp; Tous porteurs &gt; Tous profils"),'Données brutes'!$A:$AY,MATCH(H$10,'Données brutes'!$A$1:$AY$1,0),FALSE),"")</f>
        <v>4.720587984515956E-2</v>
      </c>
      <c r="I19" s="49">
        <f>IFERROR(VLOOKUP(_xlfn.CONCAT($B19," &amp; Tous porteurs &gt; Tous profils"),'Données brutes'!$A:$AY,MATCH(I$10,'Données brutes'!$A$1:$AY$1,0),FALSE),"")</f>
        <v>0.70684078574140152</v>
      </c>
      <c r="J19" s="50">
        <f>IFERROR(VLOOKUP(_xlfn.CONCAT($B19," &amp; Tous porteurs &gt; Tous profils"),'Données brutes'!$A:$AY,MATCH(J$10,'Données brutes'!$A$1:$AY$1,0),FALSE),"")</f>
        <v>1.7116919605090875</v>
      </c>
      <c r="K19" s="51">
        <f>IFERROR(VLOOKUP(_xlfn.CONCAT($B19," &amp; Tous porteurs &gt; Tous profils"),'Données brutes'!$A:$AY,MATCH(K$10,'Données brutes'!$A$1:$AY$1,0),FALSE),"")</f>
        <v>70.512484697360705</v>
      </c>
      <c r="L19" s="47">
        <f>IFERROR(VLOOKUP(_xlfn.CONCAT($B19," &amp; Tous porteurs &gt; Tous profils"),'Données brutes'!$A:$AY,MATCH(L$10,'Données brutes'!$A$1:$AY$1,0),FALSE),"")</f>
        <v>5.4399100635062148E-2</v>
      </c>
      <c r="M19" s="52">
        <f>IFERROR(VLOOKUP(_xlfn.CONCAT($B19," &amp; Tous porteurs &gt; Tous profils"),'Données brutes'!$A:$AY,MATCH(M$10,'Données brutes'!$A$1:$AY$1,0),FALSE),"")</f>
        <v>1.4619765919532843</v>
      </c>
      <c r="N19" s="47">
        <f>IFERROR(VLOOKUP(_xlfn.CONCAT($B19," &amp; Tous porteurs &gt; Tous profils"),'Données brutes'!$A:$AY,MATCH(N$10,'Données brutes'!$A$1:$AY$1,0),FALSE),"")</f>
        <v>2.0646479377392168E-2</v>
      </c>
      <c r="O19" s="51">
        <f>IFERROR(VLOOKUP(_xlfn.CONCAT($B19," &amp; Tous porteurs &gt; Tous profils"),'Données brutes'!$A:$AY,MATCH(O$10,'Données brutes'!$A$1:$AY$1,0),FALSE),"")</f>
        <v>48.230925915956007</v>
      </c>
      <c r="P19" s="47">
        <f>IFERROR(VLOOKUP(_xlfn.CONCAT($B19," &amp; Tous porteurs &gt; Tous profils"),'Données brutes'!$A:$AY,MATCH(P$10,'Données brutes'!$A$1:$AY$1,0),FALSE),"")</f>
        <v>3.3069845377078577E-2</v>
      </c>
      <c r="Q19" s="46">
        <f>IFERROR(VLOOKUP(_xlfn.CONCAT($B19," &amp; Tous porteurs &gt; Tous profils"),'Données brutes'!$A:$AY,MATCH(Q$10,'Données brutes'!$A$1:$AY$1,0),FALSE),"")</f>
        <v>7040744.6611036016</v>
      </c>
      <c r="R19" s="47">
        <f>IFERROR(VLOOKUP(_xlfn.CONCAT($B19," &amp; Tous porteurs &gt; Tous profils"),'Données brutes'!$A:$AY,MATCH(R$10,'Données brutes'!$A$1:$AY$1,0),FALSE),"")</f>
        <v>0.1115306606779336</v>
      </c>
      <c r="S19" s="49">
        <f>IFERROR(VLOOKUP(_xlfn.CONCAT($B19," &amp; Tous porteurs &gt; Tous profils"),'Données brutes'!$A:$AY,MATCH(S$10,'Données brutes'!$A$1:$AY$1,0),FALSE),"")</f>
        <v>2.5505799842808621E-2</v>
      </c>
      <c r="T19" s="81">
        <f>IFERROR(VLOOKUP(_xlfn.CONCAT($B19," &amp; Tous porteurs &gt; Tous profils"),'Données brutes'!$A:$AY,MATCH(T$10,'Données brutes'!$A$1:$AY$1,0),FALSE),"")</f>
        <v>1.688343933329596E-2</v>
      </c>
      <c r="U19" s="42" t="s">
        <v>84</v>
      </c>
    </row>
    <row r="20" spans="1:21" x14ac:dyDescent="0.3">
      <c r="A20" s="80" t="str">
        <f t="shared" si="0"/>
        <v>Septembre 2023</v>
      </c>
      <c r="B20" s="45">
        <v>202309</v>
      </c>
      <c r="C20" s="46">
        <f>IFERROR(VLOOKUP(_xlfn.CONCAT($B20," &amp; Tous porteurs &gt; Tous profils"),'Données brutes'!$A:$AY,MATCH(C$10,'Données brutes'!$A$1:$AY$1,0),FALSE),"")</f>
        <v>268352112.8416214</v>
      </c>
      <c r="D20" s="47">
        <f>IFERROR(VLOOKUP(_xlfn.CONCAT($B20," &amp; Tous porteurs &gt; Tous profils"),'Données brutes'!$A:$AY,MATCH(D$10,'Données brutes'!$A$1:$AY$1,0),FALSE),"")</f>
        <v>0.10244426498692949</v>
      </c>
      <c r="E20" s="48">
        <f>IFERROR(VLOOKUP(_xlfn.CONCAT($B20," &amp; Tous porteurs &gt; Tous profils"),'Données brutes'!$A:$AY,MATCH(E$10,'Données brutes'!$A$1:$AY$1,0),FALSE),"")</f>
        <v>5636816.8918918911</v>
      </c>
      <c r="F20" s="47">
        <f>IFERROR(VLOOKUP(_xlfn.CONCAT($B20," &amp; Tous porteurs &gt; Tous profils"),'Données brutes'!$A:$AY,MATCH(F$10,'Données brutes'!$A$1:$AY$1,0),FALSE),"")</f>
        <v>6.5941341482611548E-2</v>
      </c>
      <c r="G20" s="48">
        <f>IFERROR(VLOOKUP(_xlfn.CONCAT($B20," &amp; Tous porteurs &gt; Tous profils"),'Données brutes'!$A:$AY,MATCH(G$10,'Données brutes'!$A$1:$AY$1,0),FALSE),"")</f>
        <v>3907341</v>
      </c>
      <c r="H20" s="47">
        <f>IFERROR(VLOOKUP(_xlfn.CONCAT($B20," &amp; Tous porteurs &gt; Tous profils"),'Données brutes'!$A:$AY,MATCH(H$10,'Données brutes'!$A$1:$AY$1,0),FALSE),"")</f>
        <v>4.5102941813682351E-2</v>
      </c>
      <c r="I20" s="49">
        <f>IFERROR(VLOOKUP(_xlfn.CONCAT($B20," &amp; Tous porteurs &gt; Tous profils"),'Données brutes'!$A:$AY,MATCH(I$10,'Données brutes'!$A$1:$AY$1,0),FALSE),"")</f>
        <v>0.76436658851942363</v>
      </c>
      <c r="J20" s="50">
        <f>IFERROR(VLOOKUP(_xlfn.CONCAT($B20," &amp; Tous porteurs &gt; Tous profils"),'Données brutes'!$A:$AY,MATCH(J$10,'Données brutes'!$A$1:$AY$1,0),FALSE),"")</f>
        <v>0.77533331602617217</v>
      </c>
      <c r="K20" s="51">
        <f>IFERROR(VLOOKUP(_xlfn.CONCAT($B20," &amp; Tous porteurs &gt; Tous profils"),'Données brutes'!$A:$AY,MATCH(K$10,'Données brutes'!$A$1:$AY$1,0),FALSE),"")</f>
        <v>68.67895912888622</v>
      </c>
      <c r="L20" s="47">
        <f>IFERROR(VLOOKUP(_xlfn.CONCAT($B20," &amp; Tous porteurs &gt; Tous profils"),'Données brutes'!$A:$AY,MATCH(L$10,'Données brutes'!$A$1:$AY$1,0),FALSE),"")</f>
        <v>5.4866674735156939E-2</v>
      </c>
      <c r="M20" s="52">
        <f>IFERROR(VLOOKUP(_xlfn.CONCAT($B20," &amp; Tous porteurs &gt; Tous profils"),'Données brutes'!$A:$AY,MATCH(M$10,'Données brutes'!$A$1:$AY$1,0),FALSE),"")</f>
        <v>1.4426222057127573</v>
      </c>
      <c r="N20" s="47">
        <f>IFERROR(VLOOKUP(_xlfn.CONCAT($B20," &amp; Tous porteurs &gt; Tous profils"),'Données brutes'!$A:$AY,MATCH(N$10,'Données brutes'!$A$1:$AY$1,0),FALSE),"")</f>
        <v>1.993908813687395E-2</v>
      </c>
      <c r="O20" s="51">
        <f>IFERROR(VLOOKUP(_xlfn.CONCAT($B20," &amp; Tous porteurs &gt; Tous profils"),'Données brutes'!$A:$AY,MATCH(O$10,'Données brutes'!$A$1:$AY$1,0),FALSE),"")</f>
        <v>47.6070303485686</v>
      </c>
      <c r="P20" s="47">
        <f>IFERROR(VLOOKUP(_xlfn.CONCAT($B20," &amp; Tous porteurs &gt; Tous profils"),'Données brutes'!$A:$AY,MATCH(P$10,'Données brutes'!$A$1:$AY$1,0),FALSE),"")</f>
        <v>3.4244776972010449E-2</v>
      </c>
      <c r="Q20" s="46">
        <f>IFERROR(VLOOKUP(_xlfn.CONCAT($B20," &amp; Tous porteurs &gt; Tous profils"),'Données brutes'!$A:$AY,MATCH(Q$10,'Données brutes'!$A$1:$AY$1,0),FALSE),"")</f>
        <v>7835654.2052076664</v>
      </c>
      <c r="R20" s="47">
        <f>IFERROR(VLOOKUP(_xlfn.CONCAT($B20," &amp; Tous porteurs &gt; Tous profils"),'Données brutes'!$A:$AY,MATCH(R$10,'Données brutes'!$A$1:$AY$1,0),FALSE),"")</f>
        <v>0.13456167934019714</v>
      </c>
      <c r="S20" s="49">
        <f>IFERROR(VLOOKUP(_xlfn.CONCAT($B20," &amp; Tous porteurs &gt; Tous profils"),'Données brutes'!$A:$AY,MATCH(S$10,'Données brutes'!$A$1:$AY$1,0),FALSE),"")</f>
        <v>2.9199152271374838E-2</v>
      </c>
      <c r="T20" s="81">
        <f>IFERROR(VLOOKUP(_xlfn.CONCAT($B20," &amp; Tous porteurs &gt; Tous profils"),'Données brutes'!$A:$AY,MATCH(T$10,'Données brutes'!$A$1:$AY$1,0),FALSE),"")</f>
        <v>8.2657583923447658E-2</v>
      </c>
      <c r="U20" s="42" t="s">
        <v>85</v>
      </c>
    </row>
    <row r="21" spans="1:21" x14ac:dyDescent="0.3">
      <c r="A21" s="80" t="str">
        <f t="shared" si="0"/>
        <v>Octobre 2023</v>
      </c>
      <c r="B21" s="45">
        <v>202310</v>
      </c>
      <c r="C21" s="46">
        <f>IFERROR(VLOOKUP(_xlfn.CONCAT($B21," &amp; Tous porteurs &gt; Tous profils"),'Données brutes'!$A:$AY,MATCH(C$10,'Données brutes'!$A$1:$AY$1,0),FALSE),"")</f>
        <v>264901240.24126118</v>
      </c>
      <c r="D21" s="47">
        <f>IFERROR(VLOOKUP(_xlfn.CONCAT($B21," &amp; Tous porteurs &gt; Tous profils"),'Données brutes'!$A:$AY,MATCH(D$10,'Données brutes'!$A$1:$AY$1,0),FALSE),"")</f>
        <v>6.135844874941232E-2</v>
      </c>
      <c r="E21" s="48">
        <f>IFERROR(VLOOKUP(_xlfn.CONCAT($B21," &amp; Tous porteurs &gt; Tous profils"),'Données brutes'!$A:$AY,MATCH(E$10,'Données brutes'!$A$1:$AY$1,0),FALSE),"")</f>
        <v>5689638.738738738</v>
      </c>
      <c r="F21" s="47">
        <f>IFERROR(VLOOKUP(_xlfn.CONCAT($B21," &amp; Tous porteurs &gt; Tous profils"),'Données brutes'!$A:$AY,MATCH(F$10,'Données brutes'!$A$1:$AY$1,0),FALSE),"")</f>
        <v>4.6580113955531965E-2</v>
      </c>
      <c r="G21" s="48">
        <f>IFERROR(VLOOKUP(_xlfn.CONCAT($B21," &amp; Tous porteurs &gt; Tous profils"),'Données brutes'!$A:$AY,MATCH(G$10,'Données brutes'!$A$1:$AY$1,0),FALSE),"")</f>
        <v>3928778.25</v>
      </c>
      <c r="H21" s="47">
        <f>IFERROR(VLOOKUP(_xlfn.CONCAT($B21," &amp; Tous porteurs &gt; Tous profils"),'Données brutes'!$A:$AY,MATCH(H$10,'Données brutes'!$A$1:$AY$1,0),FALSE),"")</f>
        <v>4.2484503643959615E-2</v>
      </c>
      <c r="I21" s="49">
        <f>IFERROR(VLOOKUP(_xlfn.CONCAT($B21," &amp; Tous porteurs &gt; Tous profils"),'Données brutes'!$A:$AY,MATCH(I$10,'Données brutes'!$A$1:$AY$1,0),FALSE),"")</f>
        <v>0.77530181525774911</v>
      </c>
      <c r="J21" s="50">
        <f>IFERROR(VLOOKUP(_xlfn.CONCAT($B21," &amp; Tous porteurs &gt; Tous profils"),'Données brutes'!$A:$AY,MATCH(J$10,'Données brutes'!$A$1:$AY$1,0),FALSE),"")</f>
        <v>0.8946077746180614</v>
      </c>
      <c r="K21" s="51">
        <f>IFERROR(VLOOKUP(_xlfn.CONCAT($B21," &amp; Tous porteurs &gt; Tous profils"),'Données brutes'!$A:$AY,MATCH(K$10,'Données brutes'!$A$1:$AY$1,0),FALSE),"")</f>
        <v>67.42585694197966</v>
      </c>
      <c r="L21" s="47">
        <f>IFERROR(VLOOKUP(_xlfn.CONCAT($B21," &amp; Tous porteurs &gt; Tous profils"),'Données brutes'!$A:$AY,MATCH(L$10,'Données brutes'!$A$1:$AY$1,0),FALSE),"")</f>
        <v>1.8104772818665182E-2</v>
      </c>
      <c r="M21" s="52">
        <f>IFERROR(VLOOKUP(_xlfn.CONCAT($B21," &amp; Tous porteurs &gt; Tous profils"),'Données brutes'!$A:$AY,MATCH(M$10,'Données brutes'!$A$1:$AY$1,0),FALSE),"")</f>
        <v>1.4481954380445723</v>
      </c>
      <c r="N21" s="47">
        <f>IFERROR(VLOOKUP(_xlfn.CONCAT($B21," &amp; Tous porteurs &gt; Tous profils"),'Données brutes'!$A:$AY,MATCH(N$10,'Données brutes'!$A$1:$AY$1,0),FALSE),"")</f>
        <v>3.9287013833360085E-3</v>
      </c>
      <c r="O21" s="51">
        <f>IFERROR(VLOOKUP(_xlfn.CONCAT($B21," &amp; Tous porteurs &gt; Tous profils"),'Données brutes'!$A:$AY,MATCH(O$10,'Données brutes'!$A$1:$AY$1,0),FALSE),"")</f>
        <v>46.558534276990613</v>
      </c>
      <c r="P21" s="47">
        <f>IFERROR(VLOOKUP(_xlfn.CONCAT($B21," &amp; Tous porteurs &gt; Tous profils"),'Données brutes'!$A:$AY,MATCH(P$10,'Données brutes'!$A$1:$AY$1,0),FALSE),"")</f>
        <v>1.4120595830954485E-2</v>
      </c>
      <c r="Q21" s="46">
        <f>IFERROR(VLOOKUP(_xlfn.CONCAT($B21," &amp; Tous porteurs &gt; Tous profils"),'Données brutes'!$A:$AY,MATCH(Q$10,'Données brutes'!$A$1:$AY$1,0),FALSE),"")</f>
        <v>8069794.1042087758</v>
      </c>
      <c r="R21" s="47">
        <f>IFERROR(VLOOKUP(_xlfn.CONCAT($B21," &amp; Tous porteurs &gt; Tous profils"),'Données brutes'!$A:$AY,MATCH(R$10,'Données brutes'!$A$1:$AY$1,0),FALSE),"")</f>
        <v>0.14468547722813829</v>
      </c>
      <c r="S21" s="49">
        <f>IFERROR(VLOOKUP(_xlfn.CONCAT($B21," &amp; Tous porteurs &gt; Tous profils"),'Données brutes'!$A:$AY,MATCH(S$10,'Données brutes'!$A$1:$AY$1,0),FALSE),"")</f>
        <v>3.0463406274954162E-2</v>
      </c>
      <c r="T21" s="81">
        <f>IFERROR(VLOOKUP(_xlfn.CONCAT($B21," &amp; Tous porteurs &gt; Tous profils"),'Données brutes'!$A:$AY,MATCH(T$10,'Données brutes'!$A$1:$AY$1,0),FALSE),"")</f>
        <v>0.2217574323017453</v>
      </c>
      <c r="U21" s="42" t="s">
        <v>86</v>
      </c>
    </row>
    <row r="22" spans="1:21" x14ac:dyDescent="0.3">
      <c r="A22" s="80" t="str">
        <f t="shared" si="0"/>
        <v>Novembre 2023</v>
      </c>
      <c r="B22" s="45">
        <v>202311</v>
      </c>
      <c r="C22" s="46">
        <f>IFERROR(VLOOKUP(_xlfn.CONCAT($B22," &amp; Tous porteurs &gt; Tous profils"),'Données brutes'!$A:$AY,MATCH(C$10,'Données brutes'!$A$1:$AY$1,0),FALSE),"")</f>
        <v>271479263.86815351</v>
      </c>
      <c r="D22" s="47">
        <f>IFERROR(VLOOKUP(_xlfn.CONCAT($B22," &amp; Tous porteurs &gt; Tous profils"),'Données brutes'!$A:$AY,MATCH(D$10,'Données brutes'!$A$1:$AY$1,0),FALSE),"")</f>
        <v>8.953639981375483E-2</v>
      </c>
      <c r="E22" s="48">
        <f>IFERROR(VLOOKUP(_xlfn.CONCAT($B22," &amp; Tous porteurs &gt; Tous profils"),'Données brutes'!$A:$AY,MATCH(E$10,'Données brutes'!$A$1:$AY$1,0),FALSE),"")</f>
        <v>5552873.1981981974</v>
      </c>
      <c r="F22" s="47">
        <f>IFERROR(VLOOKUP(_xlfn.CONCAT($B22," &amp; Tous porteurs &gt; Tous profils"),'Données brutes'!$A:$AY,MATCH(F$10,'Données brutes'!$A$1:$AY$1,0),FALSE),"")</f>
        <v>5.3665546463775193E-2</v>
      </c>
      <c r="G22" s="48">
        <f>IFERROR(VLOOKUP(_xlfn.CONCAT($B22," &amp; Tous porteurs &gt; Tous profils"),'Données brutes'!$A:$AY,MATCH(G$10,'Données brutes'!$A$1:$AY$1,0),FALSE),"")</f>
        <v>3926361</v>
      </c>
      <c r="H22" s="47">
        <f>IFERROR(VLOOKUP(_xlfn.CONCAT($B22," &amp; Tous porteurs &gt; Tous profils"),'Données brutes'!$A:$AY,MATCH(H$10,'Données brutes'!$A$1:$AY$1,0),FALSE),"")</f>
        <v>4.2549763665529206E-2</v>
      </c>
      <c r="I22" s="49">
        <f>IFERROR(VLOOKUP(_xlfn.CONCAT($B22," &amp; Tous porteurs &gt; Tous profils"),'Données brutes'!$A:$AY,MATCH(I$10,'Données brutes'!$A$1:$AY$1,0),FALSE),"")</f>
        <v>0.80299492223153557</v>
      </c>
      <c r="J22" s="50">
        <f>IFERROR(VLOOKUP(_xlfn.CONCAT($B22," &amp; Tous porteurs &gt; Tous profils"),'Données brutes'!$A:$AY,MATCH(J$10,'Données brutes'!$A$1:$AY$1,0),FALSE),"")</f>
        <v>1.498090517850692</v>
      </c>
      <c r="K22" s="51">
        <f>IFERROR(VLOOKUP(_xlfn.CONCAT($B22," &amp; Tous porteurs &gt; Tous profils"),'Données brutes'!$A:$AY,MATCH(K$10,'Données brutes'!$A$1:$AY$1,0),FALSE),"")</f>
        <v>69.142716084474529</v>
      </c>
      <c r="L22" s="47">
        <f>IFERROR(VLOOKUP(_xlfn.CONCAT($B22," &amp; Tous porteurs &gt; Tous profils"),'Données brutes'!$A:$AY,MATCH(L$10,'Données brutes'!$A$1:$AY$1,0),FALSE),"")</f>
        <v>4.5068962447436522E-2</v>
      </c>
      <c r="M22" s="52">
        <f>IFERROR(VLOOKUP(_xlfn.CONCAT($B22," &amp; Tous porteurs &gt; Tous profils"),'Données brutes'!$A:$AY,MATCH(M$10,'Données brutes'!$A$1:$AY$1,0),FALSE),"")</f>
        <v>1.4142543689177325</v>
      </c>
      <c r="N22" s="47">
        <f>IFERROR(VLOOKUP(_xlfn.CONCAT($B22," &amp; Tous porteurs &gt; Tous profils"),'Données brutes'!$A:$AY,MATCH(N$10,'Données brutes'!$A$1:$AY$1,0),FALSE),"")</f>
        <v>1.0662112434003612E-2</v>
      </c>
      <c r="O22" s="51">
        <f>IFERROR(VLOOKUP(_xlfn.CONCAT($B22," &amp; Tous porteurs &gt; Tous profils"),'Données brutes'!$A:$AY,MATCH(O$10,'Données brutes'!$A$1:$AY$1,0),FALSE),"")</f>
        <v>48.889872716028059</v>
      </c>
      <c r="P22" s="47">
        <f>IFERROR(VLOOKUP(_xlfn.CONCAT($B22," &amp; Tous porteurs &gt; Tous profils"),'Données brutes'!$A:$AY,MATCH(P$10,'Données brutes'!$A$1:$AY$1,0),FALSE),"")</f>
        <v>3.4043870439122381E-2</v>
      </c>
      <c r="Q22" s="46">
        <f>IFERROR(VLOOKUP(_xlfn.CONCAT($B22," &amp; Tous porteurs &gt; Tous profils"),'Données brutes'!$A:$AY,MATCH(Q$10,'Données brutes'!$A$1:$AY$1,0),FALSE),"")</f>
        <v>16630839.238588983</v>
      </c>
      <c r="R22" s="47">
        <f>IFERROR(VLOOKUP(_xlfn.CONCAT($B22," &amp; Tous porteurs &gt; Tous profils"),'Données brutes'!$A:$AY,MATCH(R$10,'Données brutes'!$A$1:$AY$1,0),FALSE),"")</f>
        <v>0.60149865046520579</v>
      </c>
      <c r="S22" s="49">
        <f>IFERROR(VLOOKUP(_xlfn.CONCAT($B22," &amp; Tous porteurs &gt; Tous profils"),'Données brutes'!$A:$AY,MATCH(S$10,'Données brutes'!$A$1:$AY$1,0),FALSE),"")</f>
        <v>6.1260071954025587E-2</v>
      </c>
      <c r="T22" s="81">
        <f>IFERROR(VLOOKUP(_xlfn.CONCAT($B22," &amp; Tous porteurs &gt; Tous profils"),'Données brutes'!$A:$AY,MATCH(T$10,'Données brutes'!$A$1:$AY$1,0),FALSE),"")</f>
        <v>1.9583434743165373</v>
      </c>
      <c r="U22" s="42" t="s">
        <v>58</v>
      </c>
    </row>
    <row r="23" spans="1:21" x14ac:dyDescent="0.3">
      <c r="A23" s="80" t="str">
        <f t="shared" si="0"/>
        <v>Décembre 2023</v>
      </c>
      <c r="B23" s="45">
        <v>202312</v>
      </c>
      <c r="C23" s="46">
        <f>IFERROR(VLOOKUP(_xlfn.CONCAT($B23," &amp; Tous porteurs &gt; Tous profils"),'Données brutes'!$A:$AY,MATCH(C$10,'Données brutes'!$A$1:$AY$1,0),FALSE),"")</f>
        <v>340380035.15648651</v>
      </c>
      <c r="D23" s="47">
        <f>IFERROR(VLOOKUP(_xlfn.CONCAT($B23," &amp; Tous porteurs &gt; Tous profils"),'Données brutes'!$A:$AY,MATCH(D$10,'Données brutes'!$A$1:$AY$1,0),FALSE),"")</f>
        <v>6.3702053471571318E-2</v>
      </c>
      <c r="E23" s="48">
        <f>IFERROR(VLOOKUP(_xlfn.CONCAT($B23," &amp; Tous porteurs &gt; Tous profils"),'Données brutes'!$A:$AY,MATCH(E$10,'Données brutes'!$A$1:$AY$1,0),FALSE),"")</f>
        <v>6493355.8558558552</v>
      </c>
      <c r="F23" s="47">
        <f>IFERROR(VLOOKUP(_xlfn.CONCAT($B23," &amp; Tous porteurs &gt; Tous profils"),'Données brutes'!$A:$AY,MATCH(F$10,'Données brutes'!$A$1:$AY$1,0),FALSE),"")</f>
        <v>4.3515318090383337E-2</v>
      </c>
      <c r="G23" s="48">
        <f>IFERROR(VLOOKUP(_xlfn.CONCAT($B23," &amp; Tous porteurs &gt; Tous profils"),'Données brutes'!$A:$AY,MATCH(G$10,'Données brutes'!$A$1:$AY$1,0),FALSE),"")</f>
        <v>4103214</v>
      </c>
      <c r="H23" s="47">
        <f>IFERROR(VLOOKUP(_xlfn.CONCAT($B23," &amp; Tous porteurs &gt; Tous profils"),'Données brutes'!$A:$AY,MATCH(H$10,'Données brutes'!$A$1:$AY$1,0),FALSE),"")</f>
        <v>4.3149511654547723E-2</v>
      </c>
      <c r="I23" s="49">
        <f>IFERROR(VLOOKUP(_xlfn.CONCAT($B23," &amp; Tous porteurs &gt; Tous profils"),'Données brutes'!$A:$AY,MATCH(I$10,'Données brutes'!$A$1:$AY$1,0),FALSE),"")</f>
        <v>0.8015599277929164</v>
      </c>
      <c r="J23" s="50">
        <f>IFERROR(VLOOKUP(_xlfn.CONCAT($B23," &amp; Tous porteurs &gt; Tous profils"),'Données brutes'!$A:$AY,MATCH(J$10,'Données brutes'!$A$1:$AY$1,0),FALSE),"")</f>
        <v>1.3263876889585191</v>
      </c>
      <c r="K23" s="51">
        <f>IFERROR(VLOOKUP(_xlfn.CONCAT($B23," &amp; Tous porteurs &gt; Tous profils"),'Données brutes'!$A:$AY,MATCH(K$10,'Données brutes'!$A$1:$AY$1,0),FALSE),"")</f>
        <v>82.954492540843958</v>
      </c>
      <c r="L23" s="47">
        <f>IFERROR(VLOOKUP(_xlfn.CONCAT($B23," &amp; Tous porteurs &gt; Tous profils"),'Données brutes'!$A:$AY,MATCH(L$10,'Données brutes'!$A$1:$AY$1,0),FALSE),"")</f>
        <v>1.9702393173175237E-2</v>
      </c>
      <c r="M23" s="52">
        <f>IFERROR(VLOOKUP(_xlfn.CONCAT($B23," &amp; Tous porteurs &gt; Tous profils"),'Données brutes'!$A:$AY,MATCH(M$10,'Données brutes'!$A$1:$AY$1,0),FALSE),"")</f>
        <v>1.5825048013230252</v>
      </c>
      <c r="N23" s="47">
        <f>IFERROR(VLOOKUP(_xlfn.CONCAT($B23," &amp; Tous porteurs &gt; Tous profils"),'Données brutes'!$A:$AY,MATCH(N$10,'Données brutes'!$A$1:$AY$1,0),FALSE),"")</f>
        <v>3.5067498162888455E-4</v>
      </c>
      <c r="O23" s="51">
        <f>IFERROR(VLOOKUP(_xlfn.CONCAT($B23," &amp; Tous porteurs &gt; Tous profils"),'Données brutes'!$A:$AY,MATCH(O$10,'Données brutes'!$A$1:$AY$1,0),FALSE),"")</f>
        <v>52.419741457650765</v>
      </c>
      <c r="P23" s="47">
        <f>IFERROR(VLOOKUP(_xlfn.CONCAT($B23," &amp; Tous porteurs &gt; Tous profils"),'Données brutes'!$A:$AY,MATCH(P$10,'Données brutes'!$A$1:$AY$1,0),FALSE),"")</f>
        <v>1.9344934407028669E-2</v>
      </c>
      <c r="Q23" s="46">
        <f>IFERROR(VLOOKUP(_xlfn.CONCAT($B23," &amp; Tous porteurs &gt; Tous profils"),'Données brutes'!$A:$AY,MATCH(Q$10,'Données brutes'!$A$1:$AY$1,0),FALSE),"")</f>
        <v>12643286.498828819</v>
      </c>
      <c r="R23" s="47">
        <f>IFERROR(VLOOKUP(_xlfn.CONCAT($B23," &amp; Tous porteurs &gt; Tous profils"),'Données brutes'!$A:$AY,MATCH(R$10,'Données brutes'!$A$1:$AY$1,0),FALSE),"")</f>
        <v>0.23051686211469424</v>
      </c>
      <c r="S23" s="49">
        <f>IFERROR(VLOOKUP(_xlfn.CONCAT($B23," &amp; Tous porteurs &gt; Tous profils"),'Données brutes'!$A:$AY,MATCH(S$10,'Données brutes'!$A$1:$AY$1,0),FALSE),"")</f>
        <v>3.7144618347007892E-2</v>
      </c>
      <c r="T23" s="81">
        <f>IFERROR(VLOOKUP(_xlfn.CONCAT($B23," &amp; Tous porteurs &gt; Tous profils"),'Données brutes'!$A:$AY,MATCH(T$10,'Données brutes'!$A$1:$AY$1,0),FALSE),"")</f>
        <v>0.50355038540710462</v>
      </c>
      <c r="U23" s="42" t="s">
        <v>75</v>
      </c>
    </row>
    <row r="24" spans="1:21" x14ac:dyDescent="0.3">
      <c r="A24" s="80" t="str">
        <f>_xlfn.CONCAT(CHOOSE(RIGHT(B24,2),"Janvier ","Février ","Mars ","Avril ","Mai ","Juin ","Juillet ","Août ","Septembre ","Octobre ","Novembre ","Décembre "),LEFT(B24,4))</f>
        <v>Janvier 2024</v>
      </c>
      <c r="B24" s="45">
        <v>202401</v>
      </c>
      <c r="C24" s="46">
        <f>IFERROR(VLOOKUP(_xlfn.CONCAT($B24," &amp; Tous porteurs &gt; Tous profils"),'Données brutes'!$A:$AY,MATCH(C$10,'Données brutes'!$A$1:$AY$1,0),FALSE),"")</f>
        <v>268265534.66013506</v>
      </c>
      <c r="D24" s="47">
        <f>IFERROR(VLOOKUP(_xlfn.CONCAT($B24," &amp; Tous porteurs &gt; Tous profils"),'Données brutes'!$A:$AY,MATCH(D$10,'Données brutes'!$A$1:$AY$1,0),FALSE),"")</f>
        <v>8.8081026296092269E-2</v>
      </c>
      <c r="E24" s="48">
        <f>IFERROR(VLOOKUP(_xlfn.CONCAT($B24," &amp; Tous porteurs &gt; Tous profils"),'Données brutes'!$A:$AY,MATCH(E$10,'Données brutes'!$A$1:$AY$1,0),FALSE),"")</f>
        <v>5667926.5765765756</v>
      </c>
      <c r="F24" s="47">
        <f>IFERROR(VLOOKUP(_xlfn.CONCAT($B24," &amp; Tous porteurs &gt; Tous profils"),'Données brutes'!$A:$AY,MATCH(F$10,'Données brutes'!$A$1:$AY$1,0),FALSE),"")</f>
        <v>5.8381894455088679E-2</v>
      </c>
      <c r="G24" s="48">
        <f>IFERROR(VLOOKUP(_xlfn.CONCAT($B24," &amp; Tous porteurs &gt; Tous profils"),'Données brutes'!$A:$AY,MATCH(G$10,'Données brutes'!$A$1:$AY$1,0),FALSE),"")</f>
        <v>3940346.25</v>
      </c>
      <c r="H24" s="47">
        <f>IFERROR(VLOOKUP(_xlfn.CONCAT($B24," &amp; Tous porteurs &gt; Tous profils"),'Données brutes'!$A:$AY,MATCH(H$10,'Données brutes'!$A$1:$AY$1,0),FALSE),"")</f>
        <v>4.4896295863170899E-2</v>
      </c>
      <c r="I24" s="49">
        <f>IFERROR(VLOOKUP(_xlfn.CONCAT($B24," &amp; Tous porteurs &gt; Tous profils"),'Données brutes'!$A:$AY,MATCH(I$10,'Données brutes'!$A$1:$AY$1,0),FALSE),"")</f>
        <v>0.80246164777287521</v>
      </c>
      <c r="J24" s="50">
        <f>IFERROR(VLOOKUP(_xlfn.CONCAT($B24," &amp; Tous porteurs &gt; Tous profils"),'Données brutes'!$A:$AY,MATCH(J$10,'Données brutes'!$A$1:$AY$1,0),FALSE),"")</f>
        <v>1.4249235521476722</v>
      </c>
      <c r="K24" s="51">
        <f>IFERROR(VLOOKUP(_xlfn.CONCAT($B24," &amp; Tous porteurs &gt; Tous profils"),'Données brutes'!$A:$AY,MATCH(K$10,'Données brutes'!$A$1:$AY$1,0),FALSE),"")</f>
        <v>68.081716082726246</v>
      </c>
      <c r="L24" s="47">
        <f>IFERROR(VLOOKUP(_xlfn.CONCAT($B24," &amp; Tous porteurs &gt; Tous profils"),'Données brutes'!$A:$AY,MATCH(L$10,'Données brutes'!$A$1:$AY$1,0),FALSE),"")</f>
        <v>4.1329202337009985E-2</v>
      </c>
      <c r="M24" s="52">
        <f>IFERROR(VLOOKUP(_xlfn.CONCAT($B24," &amp; Tous porteurs &gt; Tous profils"),'Données brutes'!$A:$AY,MATCH(M$10,'Données brutes'!$A$1:$AY$1,0),FALSE),"")</f>
        <v>1.438433634246375</v>
      </c>
      <c r="N24" s="47">
        <f>IFERROR(VLOOKUP(_xlfn.CONCAT($B24," &amp; Tous porteurs &gt; Tous profils"),'Données brutes'!$A:$AY,MATCH(N$10,'Données brutes'!$A$1:$AY$1,0),FALSE),"")</f>
        <v>1.290615982208787E-2</v>
      </c>
      <c r="O24" s="51">
        <f>IFERROR(VLOOKUP(_xlfn.CONCAT($B24," &amp; Tous porteurs &gt; Tous profils"),'Données brutes'!$A:$AY,MATCH(O$10,'Données brutes'!$A$1:$AY$1,0),FALSE),"")</f>
        <v>47.330453391682305</v>
      </c>
      <c r="P24" s="47">
        <f>IFERROR(VLOOKUP(_xlfn.CONCAT($B24," &amp; Tous porteurs &gt; Tous profils"),'Données brutes'!$A:$AY,MATCH(P$10,'Données brutes'!$A$1:$AY$1,0),FALSE),"")</f>
        <v>2.8060884257939955E-2</v>
      </c>
      <c r="Q24" s="46">
        <f>IFERROR(VLOOKUP(_xlfn.CONCAT($B24," &amp; Tous porteurs &gt; Tous profils"),'Données brutes'!$A:$AY,MATCH(Q$10,'Données brutes'!$A$1:$AY$1,0),FALSE),"")</f>
        <v>11291741.290698193</v>
      </c>
      <c r="R24" s="47">
        <f>IFERROR(VLOOKUP(_xlfn.CONCAT($B24," &amp; Tous porteurs &gt; Tous profils"),'Données brutes'!$A:$AY,MATCH(R$10,'Données brutes'!$A$1:$AY$1,0),FALSE),"")</f>
        <v>0.31497085104378475</v>
      </c>
      <c r="S24" s="49">
        <f>IFERROR(VLOOKUP(_xlfn.CONCAT($B24," &amp; Tous porteurs &gt; Tous profils"),'Données brutes'!$A:$AY,MATCH(S$10,'Données brutes'!$A$1:$AY$1,0),FALSE),"")</f>
        <v>4.2091658568826858E-2</v>
      </c>
      <c r="T24" s="81">
        <f>IFERROR(VLOOKUP(_xlfn.CONCAT($B24," &amp; Tous porteurs &gt; Tous profils"),'Données brutes'!$A:$AY,MATCH(T$10,'Données brutes'!$A$1:$AY$1,0),FALSE),"")</f>
        <v>0.72626469464628785</v>
      </c>
    </row>
    <row r="25" spans="1:21" x14ac:dyDescent="0.3">
      <c r="A25" s="80" t="str">
        <f t="shared" si="0"/>
        <v>Février 2024</v>
      </c>
      <c r="B25" s="45">
        <v>202402</v>
      </c>
      <c r="C25" s="46">
        <f>IFERROR(VLOOKUP(_xlfn.CONCAT($B25," &amp; Tous porteurs &gt; Tous profils"),'Données brutes'!$A:$AY,MATCH(C$10,'Données brutes'!$A$1:$AY$1,0),FALSE),"")</f>
        <v>258521546.63198191</v>
      </c>
      <c r="D25" s="47">
        <f>IFERROR(VLOOKUP(_xlfn.CONCAT($B25," &amp; Tous porteurs &gt; Tous profils"),'Données brutes'!$A:$AY,MATCH(D$10,'Données brutes'!$A$1:$AY$1,0),FALSE),"")</f>
        <v>0.11876482137483824</v>
      </c>
      <c r="E25" s="48">
        <f>IFERROR(VLOOKUP(_xlfn.CONCAT($B25," &amp; Tous porteurs &gt; Tous profils"),'Données brutes'!$A:$AY,MATCH(E$10,'Données brutes'!$A$1:$AY$1,0),FALSE),"")</f>
        <v>5529712.6126126125</v>
      </c>
      <c r="F25" s="47">
        <f>IFERROR(VLOOKUP(_xlfn.CONCAT($B25," &amp; Tous porteurs &gt; Tous profils"),'Données brutes'!$A:$AY,MATCH(F$10,'Données brutes'!$A$1:$AY$1,0),FALSE),"")</f>
        <v>9.9818662849840978E-2</v>
      </c>
      <c r="G25" s="48">
        <f>IFERROR(VLOOKUP(_xlfn.CONCAT($B25," &amp; Tous porteurs &gt; Tous profils"),'Données brutes'!$A:$AY,MATCH(G$10,'Données brutes'!$A$1:$AY$1,0),FALSE),"")</f>
        <v>3959310.75</v>
      </c>
      <c r="H25" s="47">
        <f>IFERROR(VLOOKUP(_xlfn.CONCAT($B25," &amp; Tous porteurs &gt; Tous profils"),'Données brutes'!$A:$AY,MATCH(H$10,'Données brutes'!$A$1:$AY$1,0),FALSE),"")</f>
        <v>5.359543154938029E-2</v>
      </c>
      <c r="I25" s="49">
        <f>IFERROR(VLOOKUP(_xlfn.CONCAT($B25," &amp; Tous porteurs &gt; Tous profils"),'Données brutes'!$A:$AY,MATCH(I$10,'Données brutes'!$A$1:$AY$1,0),FALSE),"")</f>
        <v>0.79632689744792384</v>
      </c>
      <c r="J25" s="50">
        <f>IFERROR(VLOOKUP(_xlfn.CONCAT($B25," &amp; Tous porteurs &gt; Tous profils"),'Données brutes'!$A:$AY,MATCH(J$10,'Données brutes'!$A$1:$AY$1,0),FALSE),"")</f>
        <v>1.7348943950324935</v>
      </c>
      <c r="K25" s="51">
        <f>IFERROR(VLOOKUP(_xlfn.CONCAT($B25," &amp; Tous porteurs &gt; Tous profils"),'Données brutes'!$A:$AY,MATCH(K$10,'Données brutes'!$A$1:$AY$1,0),FALSE),"")</f>
        <v>65.294583566592223</v>
      </c>
      <c r="L25" s="47">
        <f>IFERROR(VLOOKUP(_xlfn.CONCAT($B25," &amp; Tous porteurs &gt; Tous profils"),'Données brutes'!$A:$AY,MATCH(L$10,'Données brutes'!$A$1:$AY$1,0),FALSE),"")</f>
        <v>6.1854282843294195E-2</v>
      </c>
      <c r="M25" s="52">
        <f>IFERROR(VLOOKUP(_xlfn.CONCAT($B25," &amp; Tous porteurs &gt; Tous profils"),'Données brutes'!$A:$AY,MATCH(M$10,'Données brutes'!$A$1:$AY$1,0),FALSE),"")</f>
        <v>1.3966351624743303</v>
      </c>
      <c r="N25" s="47">
        <f>IFERROR(VLOOKUP(_xlfn.CONCAT($B25," &amp; Tous porteurs &gt; Tous profils"),'Données brutes'!$A:$AY,MATCH(N$10,'Données brutes'!$A$1:$AY$1,0),FALSE),"")</f>
        <v>4.3871897994552489E-2</v>
      </c>
      <c r="O25" s="51">
        <f>IFERROR(VLOOKUP(_xlfn.CONCAT($B25," &amp; Tous porteurs &gt; Tous profils"),'Données brutes'!$A:$AY,MATCH(O$10,'Données brutes'!$A$1:$AY$1,0),FALSE),"")</f>
        <v>46.751353052656881</v>
      </c>
      <c r="P25" s="47">
        <f>IFERROR(VLOOKUP(_xlfn.CONCAT($B25," &amp; Tous porteurs &gt; Tous profils"),'Données brutes'!$A:$AY,MATCH(P$10,'Données brutes'!$A$1:$AY$1,0),FALSE),"")</f>
        <v>1.7226620319302555E-2</v>
      </c>
      <c r="Q25" s="46">
        <f>IFERROR(VLOOKUP(_xlfn.CONCAT($B25," &amp; Tous porteurs &gt; Tous profils"),'Données brutes'!$A:$AY,MATCH(Q$10,'Données brutes'!$A$1:$AY$1,0),FALSE),"")</f>
        <v>7104767.6320945937</v>
      </c>
      <c r="R25" s="47">
        <f>IFERROR(VLOOKUP(_xlfn.CONCAT($B25," &amp; Tous porteurs &gt; Tous profils"),'Données brutes'!$A:$AY,MATCH(R$10,'Données brutes'!$A$1:$AY$1,0),FALSE),"")</f>
        <v>0.27172642127579572</v>
      </c>
      <c r="S25" s="49">
        <f>IFERROR(VLOOKUP(_xlfn.CONCAT($B25," &amp; Tous porteurs &gt; Tous profils"),'Données brutes'!$A:$AY,MATCH(S$10,'Données brutes'!$A$1:$AY$1,0),FALSE),"")</f>
        <v>2.7482303601597195E-2</v>
      </c>
      <c r="T25" s="81">
        <f>IFERROR(VLOOKUP(_xlfn.CONCAT($B25," &amp; Tous porteurs &gt; Tous profils"),'Données brutes'!$A:$AY,MATCH(T$10,'Données brutes'!$A$1:$AY$1,0),FALSE),"")</f>
        <v>0.33055357327930401</v>
      </c>
    </row>
    <row r="26" spans="1:21" x14ac:dyDescent="0.3">
      <c r="A26" s="80" t="str">
        <f t="shared" si="0"/>
        <v>Mars 2024</v>
      </c>
      <c r="B26" s="45">
        <v>202403</v>
      </c>
      <c r="C26" s="46">
        <f>IFERROR(VLOOKUP(_xlfn.CONCAT($B26," &amp; Tous porteurs &gt; Tous profils"),'Données brutes'!$A:$AY,MATCH(C$10,'Données brutes'!$A$1:$AY$1,0),FALSE),"")</f>
        <v>288051995.9350453</v>
      </c>
      <c r="D26" s="47">
        <f>IFERROR(VLOOKUP(_xlfn.CONCAT($B26," &amp; Tous porteurs &gt; Tous profils"),'Données brutes'!$A:$AY,MATCH(D$10,'Données brutes'!$A$1:$AY$1,0),FALSE),"")</f>
        <v>8.4776622085566133E-2</v>
      </c>
      <c r="E26" s="48">
        <f>IFERROR(VLOOKUP(_xlfn.CONCAT($B26," &amp; Tous porteurs &gt; Tous profils"),'Données brutes'!$A:$AY,MATCH(E$10,'Données brutes'!$A$1:$AY$1,0),FALSE),"")</f>
        <v>6013486.2612612611</v>
      </c>
      <c r="F26" s="47">
        <f>IFERROR(VLOOKUP(_xlfn.CONCAT($B26," &amp; Tous porteurs &gt; Tous profils"),'Données brutes'!$A:$AY,MATCH(F$10,'Données brutes'!$A$1:$AY$1,0),FALSE),"")</f>
        <v>5.6481790484387506E-2</v>
      </c>
      <c r="G26" s="48">
        <f>IFERROR(VLOOKUP(_xlfn.CONCAT($B26," &amp; Tous porteurs &gt; Tous profils"),'Données brutes'!$A:$AY,MATCH(G$10,'Données brutes'!$A$1:$AY$1,0),FALSE),"")</f>
        <v>4050660</v>
      </c>
      <c r="H26" s="47">
        <f>IFERROR(VLOOKUP(_xlfn.CONCAT($B26," &amp; Tous porteurs &gt; Tous profils"),'Données brutes'!$A:$AY,MATCH(H$10,'Données brutes'!$A$1:$AY$1,0),FALSE),"")</f>
        <v>4.6990383409379666E-2</v>
      </c>
      <c r="I26" s="49">
        <f>IFERROR(VLOOKUP(_xlfn.CONCAT($B26," &amp; Tous porteurs &gt; Tous profils"),'Données brutes'!$A:$AY,MATCH(I$10,'Données brutes'!$A$1:$AY$1,0),FALSE),"")</f>
        <v>0.79776502331368349</v>
      </c>
      <c r="J26" s="50">
        <f>IFERROR(VLOOKUP(_xlfn.CONCAT($B26," &amp; Tous porteurs &gt; Tous profils"),'Données brutes'!$A:$AY,MATCH(J$10,'Données brutes'!$A$1:$AY$1,0),FALSE),"")</f>
        <v>0.7440122480322664</v>
      </c>
      <c r="K26" s="51">
        <f>IFERROR(VLOOKUP(_xlfn.CONCAT($B26," &amp; Tous porteurs &gt; Tous profils"),'Données brutes'!$A:$AY,MATCH(K$10,'Données brutes'!$A$1:$AY$1,0),FALSE),"")</f>
        <v>71.112360932550573</v>
      </c>
      <c r="L26" s="47">
        <f>IFERROR(VLOOKUP(_xlfn.CONCAT($B26," &amp; Tous porteurs &gt; Tous profils"),'Données brutes'!$A:$AY,MATCH(L$10,'Données brutes'!$A$1:$AY$1,0),FALSE),"")</f>
        <v>3.6090339772883784E-2</v>
      </c>
      <c r="M26" s="52">
        <f>IFERROR(VLOOKUP(_xlfn.CONCAT($B26," &amp; Tous porteurs &gt; Tous profils"),'Données brutes'!$A:$AY,MATCH(M$10,'Données brutes'!$A$1:$AY$1,0),FALSE),"")</f>
        <v>1.4845694926903914</v>
      </c>
      <c r="N26" s="47">
        <f>IFERROR(VLOOKUP(_xlfn.CONCAT($B26," &amp; Tous porteurs &gt; Tous profils"),'Données brutes'!$A:$AY,MATCH(N$10,'Données brutes'!$A$1:$AY$1,0),FALSE),"")</f>
        <v>9.0654195352783962E-3</v>
      </c>
      <c r="O26" s="51">
        <f>IFERROR(VLOOKUP(_xlfn.CONCAT($B26," &amp; Tous porteurs &gt; Tous profils"),'Données brutes'!$A:$AY,MATCH(O$10,'Données brutes'!$A$1:$AY$1,0),FALSE),"")</f>
        <v>47.90099842593299</v>
      </c>
      <c r="P26" s="47">
        <f>IFERROR(VLOOKUP(_xlfn.CONCAT($B26," &amp; Tous porteurs &gt; Tous profils"),'Données brutes'!$A:$AY,MATCH(P$10,'Données brutes'!$A$1:$AY$1,0),FALSE),"")</f>
        <v>2.6782129002153043E-2</v>
      </c>
      <c r="Q26" s="46">
        <f>IFERROR(VLOOKUP(_xlfn.CONCAT($B26," &amp; Tous porteurs &gt; Tous profils"),'Données brutes'!$A:$AY,MATCH(Q$10,'Données brutes'!$A$1:$AY$1,0),FALSE),"")</f>
        <v>7590212.6996171279</v>
      </c>
      <c r="R26" s="47">
        <f>IFERROR(VLOOKUP(_xlfn.CONCAT($B26," &amp; Tous porteurs &gt; Tous profils"),'Données brutes'!$A:$AY,MATCH(R$10,'Données brutes'!$A$1:$AY$1,0),FALSE),"")</f>
        <v>6.4288112587144397E-2</v>
      </c>
      <c r="S26" s="49">
        <f>IFERROR(VLOOKUP(_xlfn.CONCAT($B26," &amp; Tous porteurs &gt; Tous profils"),'Données brutes'!$A:$AY,MATCH(S$10,'Données brutes'!$A$1:$AY$1,0),FALSE),"")</f>
        <v>2.6350147913325669E-2</v>
      </c>
      <c r="T26" s="81">
        <f>IFERROR(VLOOKUP(_xlfn.CONCAT($B26," &amp; Tous porteurs &gt; Tous profils"),'Données brutes'!$A:$AY,MATCH(T$10,'Données brutes'!$A$1:$AY$1,0),FALSE),"")</f>
        <v>-5.0726419793849231E-2</v>
      </c>
    </row>
    <row r="27" spans="1:21" x14ac:dyDescent="0.3">
      <c r="A27" s="80" t="str">
        <f t="shared" si="0"/>
        <v>Avril 2024</v>
      </c>
      <c r="B27" s="45">
        <v>202404</v>
      </c>
      <c r="C27" s="46">
        <f>IFERROR(VLOOKUP(_xlfn.CONCAT($B27," &amp; Tous porteurs &gt; Tous profils"),'Données brutes'!$A:$AY,MATCH(C$10,'Données brutes'!$A$1:$AY$1,0),FALSE),"")</f>
        <v>271962013.03540486</v>
      </c>
      <c r="D27" s="47">
        <f>IFERROR(VLOOKUP(_xlfn.CONCAT($B27," &amp; Tous porteurs &gt; Tous profils"),'Données brutes'!$A:$AY,MATCH(D$10,'Données brutes'!$A$1:$AY$1,0),FALSE),"")</f>
        <v>-1.163154070304484E-2</v>
      </c>
      <c r="E27" s="48">
        <f>IFERROR(VLOOKUP(_xlfn.CONCAT($B27," &amp; Tous porteurs &gt; Tous profils"),'Données brutes'!$A:$AY,MATCH(E$10,'Données brutes'!$A$1:$AY$1,0),FALSE),"")</f>
        <v>5764394.5945945941</v>
      </c>
      <c r="F27" s="47">
        <f>IFERROR(VLOOKUP(_xlfn.CONCAT($B27," &amp; Tous porteurs &gt; Tous profils"),'Données brutes'!$A:$AY,MATCH(F$10,'Données brutes'!$A$1:$AY$1,0),FALSE),"")</f>
        <v>3.043978881749565E-2</v>
      </c>
      <c r="G27" s="48">
        <f>IFERROR(VLOOKUP(_xlfn.CONCAT($B27," &amp; Tous porteurs &gt; Tous profils"),'Données brutes'!$A:$AY,MATCH(G$10,'Données brutes'!$A$1:$AY$1,0),FALSE),"")</f>
        <v>4032450.75</v>
      </c>
      <c r="H27" s="47">
        <f>IFERROR(VLOOKUP(_xlfn.CONCAT($B27," &amp; Tous porteurs &gt; Tous profils"),'Données brutes'!$A:$AY,MATCH(H$10,'Données brutes'!$A$1:$AY$1,0),FALSE),"")</f>
        <v>2.47976746402363E-2</v>
      </c>
      <c r="I27" s="49">
        <f>IFERROR(VLOOKUP(_xlfn.CONCAT($B27," &amp; Tous porteurs &gt; Tous profils"),'Données brutes'!$A:$AY,MATCH(I$10,'Données brutes'!$A$1:$AY$1,0),FALSE),"")</f>
        <v>0.78638745516815101</v>
      </c>
      <c r="J27" s="50">
        <f>IFERROR(VLOOKUP(_xlfn.CONCAT($B27," &amp; Tous porteurs &gt; Tous profils"),'Données brutes'!$A:$AY,MATCH(J$10,'Données brutes'!$A$1:$AY$1,0),FALSE),"")</f>
        <v>0.60808158674626744</v>
      </c>
      <c r="K27" s="51">
        <f>IFERROR(VLOOKUP(_xlfn.CONCAT($B27," &amp; Tous porteurs &gt; Tous profils"),'Données brutes'!$A:$AY,MATCH(K$10,'Données brutes'!$A$1:$AY$1,0),FALSE),"")</f>
        <v>67.443356384552217</v>
      </c>
      <c r="L27" s="47">
        <f>IFERROR(VLOOKUP(_xlfn.CONCAT($B27," &amp; Tous porteurs &gt; Tous profils"),'Données brutes'!$A:$AY,MATCH(L$10,'Données brutes'!$A$1:$AY$1,0),FALSE),"")</f>
        <v>-3.554771468043183E-2</v>
      </c>
      <c r="M27" s="52">
        <f>IFERROR(VLOOKUP(_xlfn.CONCAT($B27," &amp; Tous porteurs &gt; Tous profils"),'Données brutes'!$A:$AY,MATCH(M$10,'Données brutes'!$A$1:$AY$1,0),FALSE),"")</f>
        <v>1.4295015492984247</v>
      </c>
      <c r="N27" s="47">
        <f>IFERROR(VLOOKUP(_xlfn.CONCAT($B27," &amp; Tous porteurs &gt; Tous profils"),'Données brutes'!$A:$AY,MATCH(N$10,'Données brutes'!$A$1:$AY$1,0),FALSE),"")</f>
        <v>5.5055883877177525E-3</v>
      </c>
      <c r="O27" s="51">
        <f>IFERROR(VLOOKUP(_xlfn.CONCAT($B27," &amp; Tous porteurs &gt; Tous profils"),'Données brutes'!$A:$AY,MATCH(O$10,'Données brutes'!$A$1:$AY$1,0),FALSE),"")</f>
        <v>47.179631541954109</v>
      </c>
      <c r="P27" s="47">
        <f>IFERROR(VLOOKUP(_xlfn.CONCAT($B27," &amp; Tous porteurs &gt; Tous profils"),'Données brutes'!$A:$AY,MATCH(P$10,'Données brutes'!$A$1:$AY$1,0),FALSE),"")</f>
        <v>-4.0828518053267482E-2</v>
      </c>
      <c r="Q27" s="46">
        <f>IFERROR(VLOOKUP(_xlfn.CONCAT($B27," &amp; Tous porteurs &gt; Tous profils"),'Données brutes'!$A:$AY,MATCH(Q$10,'Données brutes'!$A$1:$AY$1,0),FALSE),"")</f>
        <v>7562576.6688033724</v>
      </c>
      <c r="R27" s="47">
        <f>IFERROR(VLOOKUP(_xlfn.CONCAT($B27," &amp; Tous porteurs &gt; Tous profils"),'Données brutes'!$A:$AY,MATCH(R$10,'Données brutes'!$A$1:$AY$1,0),FALSE),"")</f>
        <v>0.29649354153581564</v>
      </c>
      <c r="S27" s="49">
        <f>IFERROR(VLOOKUP(_xlfn.CONCAT($B27," &amp; Tous porteurs &gt; Tous profils"),'Données brutes'!$A:$AY,MATCH(S$10,'Données brutes'!$A$1:$AY$1,0),FALSE),"")</f>
        <v>2.7807474229199991E-2</v>
      </c>
      <c r="T27" s="81">
        <f>IFERROR(VLOOKUP(_xlfn.CONCAT($B27," &amp; Tous porteurs &gt; Tous profils"),'Données brutes'!$A:$AY,MATCH(T$10,'Données brutes'!$A$1:$AY$1,0),FALSE),"")</f>
        <v>0.66087334870773429</v>
      </c>
    </row>
    <row r="28" spans="1:21" x14ac:dyDescent="0.3">
      <c r="A28" s="80" t="str">
        <f t="shared" si="0"/>
        <v>Mai 2024</v>
      </c>
      <c r="B28" s="45">
        <v>202405</v>
      </c>
      <c r="C28" s="46">
        <f>IFERROR(VLOOKUP(_xlfn.CONCAT($B28," &amp; Tous porteurs &gt; Tous profils"),'Données brutes'!$A:$AY,MATCH(C$10,'Données brutes'!$A$1:$AY$1,0),FALSE),"")</f>
        <v>284815855.03211731</v>
      </c>
      <c r="D28" s="47">
        <f>IFERROR(VLOOKUP(_xlfn.CONCAT($B28," &amp; Tous porteurs &gt; Tous profils"),'Données brutes'!$A:$AY,MATCH(D$10,'Données brutes'!$A$1:$AY$1,0),FALSE),"")</f>
        <v>6.0947925213973297E-2</v>
      </c>
      <c r="E28" s="48">
        <f>IFERROR(VLOOKUP(_xlfn.CONCAT($B28," &amp; Tous porteurs &gt; Tous profils"),'Données brutes'!$A:$AY,MATCH(E$10,'Données brutes'!$A$1:$AY$1,0),FALSE),"")</f>
        <v>5843918.0180180175</v>
      </c>
      <c r="F28" s="47">
        <f>IFERROR(VLOOKUP(_xlfn.CONCAT($B28," &amp; Tous porteurs &gt; Tous profils"),'Données brutes'!$A:$AY,MATCH(F$10,'Données brutes'!$A$1:$AY$1,0),FALSE),"")</f>
        <v>6.1340691068821007E-2</v>
      </c>
      <c r="G28" s="48">
        <f>IFERROR(VLOOKUP(_xlfn.CONCAT($B28," &amp; Tous porteurs &gt; Tous profils"),'Données brutes'!$A:$AY,MATCH(G$10,'Données brutes'!$A$1:$AY$1,0),FALSE),"")</f>
        <v>4049937.75</v>
      </c>
      <c r="H28" s="47">
        <f>IFERROR(VLOOKUP(_xlfn.CONCAT($B28," &amp; Tous porteurs &gt; Tous profils"),'Données brutes'!$A:$AY,MATCH(H$10,'Données brutes'!$A$1:$AY$1,0),FALSE),"")</f>
        <v>4.1309980376790234E-2</v>
      </c>
      <c r="I28" s="49">
        <f>IFERROR(VLOOKUP(_xlfn.CONCAT($B28," &amp; Tous porteurs &gt; Tous profils"),'Données brutes'!$A:$AY,MATCH(I$10,'Données brutes'!$A$1:$AY$1,0),FALSE),"")</f>
        <v>0.77958913750574388</v>
      </c>
      <c r="J28" s="50">
        <f>IFERROR(VLOOKUP(_xlfn.CONCAT($B28," &amp; Tous porteurs &gt; Tous profils"),'Données brutes'!$A:$AY,MATCH(J$10,'Données brutes'!$A$1:$AY$1,0),FALSE),"")</f>
        <v>0.85584438907587712</v>
      </c>
      <c r="K28" s="51">
        <f>IFERROR(VLOOKUP(_xlfn.CONCAT($B28," &amp; Tous porteurs &gt; Tous profils"),'Données brutes'!$A:$AY,MATCH(K$10,'Données brutes'!$A$1:$AY$1,0),FALSE),"")</f>
        <v>70.325983413477729</v>
      </c>
      <c r="L28" s="47">
        <f>IFERROR(VLOOKUP(_xlfn.CONCAT($B28," &amp; Tous porteurs &gt; Tous profils"),'Données brutes'!$A:$AY,MATCH(L$10,'Données brutes'!$A$1:$AY$1,0),FALSE),"")</f>
        <v>1.8858884681079324E-2</v>
      </c>
      <c r="M28" s="52">
        <f>IFERROR(VLOOKUP(_xlfn.CONCAT($B28," &amp; Tous porteurs &gt; Tous profils"),'Données brutes'!$A:$AY,MATCH(M$10,'Données brutes'!$A$1:$AY$1,0),FALSE),"")</f>
        <v>1.4429648994032112</v>
      </c>
      <c r="N28" s="47">
        <f>IFERROR(VLOOKUP(_xlfn.CONCAT($B28," &amp; Tous porteurs &gt; Tous profils"),'Données brutes'!$A:$AY,MATCH(N$10,'Données brutes'!$A$1:$AY$1,0),FALSE),"")</f>
        <v>1.9236069056768779E-2</v>
      </c>
      <c r="O28" s="51">
        <f>IFERROR(VLOOKUP(_xlfn.CONCAT($B28," &amp; Tous porteurs &gt; Tous profils"),'Données brutes'!$A:$AY,MATCH(O$10,'Données brutes'!$A$1:$AY$1,0),FALSE),"")</f>
        <v>48.737140759670247</v>
      </c>
      <c r="P28" s="47">
        <f>IFERROR(VLOOKUP(_xlfn.CONCAT($B28," &amp; Tous porteurs &gt; Tous profils"),'Données brutes'!$A:$AY,MATCH(P$10,'Données brutes'!$A$1:$AY$1,0),FALSE),"")</f>
        <v>-3.7006576507714328E-4</v>
      </c>
      <c r="Q28" s="46">
        <f>IFERROR(VLOOKUP(_xlfn.CONCAT($B28," &amp; Tous porteurs &gt; Tous profils"),'Données brutes'!$A:$AY,MATCH(Q$10,'Données brutes'!$A$1:$AY$1,0),FALSE),"")</f>
        <v>6052163.6609450458</v>
      </c>
      <c r="R28" s="47">
        <f>IFERROR(VLOOKUP(_xlfn.CONCAT($B28," &amp; Tous porteurs &gt; Tous profils"),'Données brutes'!$A:$AY,MATCH(R$10,'Données brutes'!$A$1:$AY$1,0),FALSE),"")</f>
        <v>0.17132191137942598</v>
      </c>
      <c r="S28" s="49">
        <f>IFERROR(VLOOKUP(_xlfn.CONCAT($B28," &amp; Tous porteurs &gt; Tous profils"),'Données brutes'!$A:$AY,MATCH(S$10,'Données brutes'!$A$1:$AY$1,0),FALSE),"")</f>
        <v>2.1249391682434858E-2</v>
      </c>
      <c r="T28" s="81">
        <f>IFERROR(VLOOKUP(_xlfn.CONCAT($B28," &amp; Tous porteurs &gt; Tous profils"),'Données brutes'!$A:$AY,MATCH(T$10,'Données brutes'!$A$1:$AY$1,0),FALSE),"")</f>
        <v>0.2002336028034582</v>
      </c>
    </row>
    <row r="29" spans="1:21" x14ac:dyDescent="0.3">
      <c r="A29" s="80" t="str">
        <f t="shared" si="0"/>
        <v>Juin 2024</v>
      </c>
      <c r="B29" s="45">
        <v>202406</v>
      </c>
      <c r="C29" s="46">
        <f>IFERROR(VLOOKUP(_xlfn.CONCAT($B29," &amp; Tous porteurs &gt; Tous profils"),'Données brutes'!$A:$AY,MATCH(C$10,'Données brutes'!$A$1:$AY$1,0),FALSE),"")</f>
        <v>277861510.08333385</v>
      </c>
      <c r="D29" s="47">
        <f>IFERROR(VLOOKUP(_xlfn.CONCAT($B29," &amp; Tous porteurs &gt; Tous profils"),'Données brutes'!$A:$AY,MATCH(D$10,'Données brutes'!$A$1:$AY$1,0),FALSE),"")</f>
        <v>-4.4950133505361478E-5</v>
      </c>
      <c r="E29" s="48">
        <f>IFERROR(VLOOKUP(_xlfn.CONCAT($B29," &amp; Tous porteurs &gt; Tous profils"),'Données brutes'!$A:$AY,MATCH(E$10,'Données brutes'!$A$1:$AY$1,0),FALSE),"")</f>
        <v>5787663.738738738</v>
      </c>
      <c r="F29" s="47">
        <f>IFERROR(VLOOKUP(_xlfn.CONCAT($B29," &amp; Tous porteurs &gt; Tous profils"),'Données brutes'!$A:$AY,MATCH(F$10,'Données brutes'!$A$1:$AY$1,0),FALSE),"")</f>
        <v>1.1873470508305006E-2</v>
      </c>
      <c r="G29" s="48">
        <f>IFERROR(VLOOKUP(_xlfn.CONCAT($B29," &amp; Tous porteurs &gt; Tous profils"),'Données brutes'!$A:$AY,MATCH(G$10,'Données brutes'!$A$1:$AY$1,0),FALSE),"")</f>
        <v>4037632.5</v>
      </c>
      <c r="H29" s="47">
        <f>IFERROR(VLOOKUP(_xlfn.CONCAT($B29," &amp; Tous porteurs &gt; Tous profils"),'Données brutes'!$A:$AY,MATCH(H$10,'Données brutes'!$A$1:$AY$1,0),FALSE),"")</f>
        <v>3.1986638160488967E-2</v>
      </c>
      <c r="I29" s="49">
        <f>IFERROR(VLOOKUP(_xlfn.CONCAT($B29," &amp; Tous porteurs &gt; Tous profils"),'Données brutes'!$A:$AY,MATCH(I$10,'Données brutes'!$A$1:$AY$1,0),FALSE),"")</f>
        <v>0.77286151553972116</v>
      </c>
      <c r="J29" s="50">
        <f>IFERROR(VLOOKUP(_xlfn.CONCAT($B29," &amp; Tous porteurs &gt; Tous profils"),'Données brutes'!$A:$AY,MATCH(J$10,'Données brutes'!$A$1:$AY$1,0),FALSE),"")</f>
        <v>0.96894578379226326</v>
      </c>
      <c r="K29" s="51">
        <f>IFERROR(VLOOKUP(_xlfn.CONCAT($B29," &amp; Tous porteurs &gt; Tous profils"),'Données brutes'!$A:$AY,MATCH(K$10,'Données brutes'!$A$1:$AY$1,0),FALSE),"")</f>
        <v>68.8179298347073</v>
      </c>
      <c r="L29" s="47">
        <f>IFERROR(VLOOKUP(_xlfn.CONCAT($B29," &amp; Tous porteurs &gt; Tous profils"),'Données brutes'!$A:$AY,MATCH(L$10,'Données brutes'!$A$1:$AY$1,0),FALSE),"")</f>
        <v>-3.1038762624960414E-2</v>
      </c>
      <c r="M29" s="52">
        <f>IFERROR(VLOOKUP(_xlfn.CONCAT($B29," &amp; Tous porteurs &gt; Tous profils"),'Données brutes'!$A:$AY,MATCH(M$10,'Données brutes'!$A$1:$AY$1,0),FALSE),"")</f>
        <v>1.4334300456365798</v>
      </c>
      <c r="N29" s="47">
        <f>IFERROR(VLOOKUP(_xlfn.CONCAT($B29," &amp; Tous porteurs &gt; Tous profils"),'Données brutes'!$A:$AY,MATCH(N$10,'Données brutes'!$A$1:$AY$1,0),FALSE),"")</f>
        <v>-1.9489755882920679E-2</v>
      </c>
      <c r="O29" s="51">
        <f>IFERROR(VLOOKUP(_xlfn.CONCAT($B29," &amp; Tous porteurs &gt; Tous profils"),'Données brutes'!$A:$AY,MATCH(O$10,'Données brutes'!$A$1:$AY$1,0),FALSE),"")</f>
        <v>48.009269823938688</v>
      </c>
      <c r="P29" s="47">
        <f>IFERROR(VLOOKUP(_xlfn.CONCAT($B29," &amp; Tous porteurs &gt; Tous profils"),'Données brutes'!$A:$AY,MATCH(P$10,'Données brutes'!$A$1:$AY$1,0),FALSE),"")</f>
        <v>-1.177856816013112E-2</v>
      </c>
      <c r="Q29" s="46">
        <f>IFERROR(VLOOKUP(_xlfn.CONCAT($B29," &amp; Tous porteurs &gt; Tous profils"),'Données brutes'!$A:$AY,MATCH(Q$10,'Données brutes'!$A$1:$AY$1,0),FALSE),"")</f>
        <v>8233372.5563288247</v>
      </c>
      <c r="R29" s="47">
        <f>IFERROR(VLOOKUP(_xlfn.CONCAT($B29," &amp; Tous porteurs &gt; Tous profils"),'Données brutes'!$A:$AY,MATCH(R$10,'Données brutes'!$A$1:$AY$1,0),FALSE),"")</f>
        <v>0.29995223026606066</v>
      </c>
      <c r="S29" s="49">
        <f>IFERROR(VLOOKUP(_xlfn.CONCAT($B29," &amp; Tous porteurs &gt; Tous profils"),'Données brutes'!$A:$AY,MATCH(S$10,'Données brutes'!$A$1:$AY$1,0),FALSE),"")</f>
        <v>2.9631209280693616E-2</v>
      </c>
      <c r="T29" s="81">
        <f>IFERROR(VLOOKUP(_xlfn.CONCAT($B29," &amp; Tous porteurs &gt; Tous profils"),'Données brutes'!$A:$AY,MATCH(T$10,'Données brutes'!$A$1:$AY$1,0),FALSE),"")</f>
        <v>0.68381583792645784</v>
      </c>
    </row>
    <row r="30" spans="1:21" x14ac:dyDescent="0.3">
      <c r="A30" s="80" t="str">
        <f t="shared" si="0"/>
        <v>Juillet 2024</v>
      </c>
      <c r="B30" s="45">
        <v>202407</v>
      </c>
      <c r="C30" s="46">
        <f>IFERROR(VLOOKUP(_xlfn.CONCAT($B30," &amp; Tous porteurs &gt; Tous profils"),'Données brutes'!$A:$AY,MATCH(C$10,'Données brutes'!$A$1:$AY$1,0),FALSE),"")</f>
        <v>287203346.56756818</v>
      </c>
      <c r="D30" s="47">
        <f>IFERROR(VLOOKUP(_xlfn.CONCAT($B30," &amp; Tous porteurs &gt; Tous profils"),'Données brutes'!$A:$AY,MATCH(D$10,'Données brutes'!$A$1:$AY$1,0),FALSE),"")</f>
        <v>4.161986644817306E-2</v>
      </c>
      <c r="E30" s="48">
        <f>IFERROR(VLOOKUP(_xlfn.CONCAT($B30," &amp; Tous porteurs &gt; Tous profils"),'Données brutes'!$A:$AY,MATCH(E$10,'Données brutes'!$A$1:$AY$1,0),FALSE),"")</f>
        <v>6028193.6936936928</v>
      </c>
      <c r="F30" s="47">
        <f>IFERROR(VLOOKUP(_xlfn.CONCAT($B30," &amp; Tous porteurs &gt; Tous profils"),'Données brutes'!$A:$AY,MATCH(F$10,'Données brutes'!$A$1:$AY$1,0),FALSE),"")</f>
        <v>5.6807534037443208E-2</v>
      </c>
      <c r="G30" s="48">
        <f>IFERROR(VLOOKUP(_xlfn.CONCAT($B30," &amp; Tous porteurs &gt; Tous profils"),'Données brutes'!$A:$AY,MATCH(G$10,'Données brutes'!$A$1:$AY$1,0),FALSE),"")</f>
        <v>4069992.75</v>
      </c>
      <c r="H30" s="47">
        <f>IFERROR(VLOOKUP(_xlfn.CONCAT($B30," &amp; Tous porteurs &gt; Tous profils"),'Données brutes'!$A:$AY,MATCH(H$10,'Données brutes'!$A$1:$AY$1,0),FALSE),"")</f>
        <v>3.748111118248576E-2</v>
      </c>
      <c r="I30" s="49">
        <f>IFERROR(VLOOKUP(_xlfn.CONCAT($B30," &amp; Tous porteurs &gt; Tous profils"),'Données brutes'!$A:$AY,MATCH(I$10,'Données brutes'!$A$1:$AY$1,0),FALSE),"")</f>
        <v>0.72530343751753201</v>
      </c>
      <c r="J30" s="50">
        <f>IFERROR(VLOOKUP(_xlfn.CONCAT($B30," &amp; Tous porteurs &gt; Tous profils"),'Données brutes'!$A:$AY,MATCH(J$10,'Données brutes'!$A$1:$AY$1,0),FALSE),"")</f>
        <v>1.0495888398828757</v>
      </c>
      <c r="K30" s="51">
        <f>IFERROR(VLOOKUP(_xlfn.CONCAT($B30," &amp; Tous porteurs &gt; Tous profils"),'Données brutes'!$A:$AY,MATCH(K$10,'Données brutes'!$A$1:$AY$1,0),FALSE),"")</f>
        <v>70.566058518794208</v>
      </c>
      <c r="L30" s="47">
        <f>IFERROR(VLOOKUP(_xlfn.CONCAT($B30," &amp; Tous porteurs &gt; Tous profils"),'Données brutes'!$A:$AY,MATCH(L$10,'Données brutes'!$A$1:$AY$1,0),FALSE),"")</f>
        <v>3.9892343302230238E-3</v>
      </c>
      <c r="M30" s="52">
        <f>IFERROR(VLOOKUP(_xlfn.CONCAT($B30," &amp; Tous porteurs &gt; Tous profils"),'Données brutes'!$A:$AY,MATCH(M$10,'Données brutes'!$A$1:$AY$1,0),FALSE),"")</f>
        <v>1.4811313100480812</v>
      </c>
      <c r="N30" s="47">
        <f>IFERROR(VLOOKUP(_xlfn.CONCAT($B30," &amp; Tous porteurs &gt; Tous profils"),'Données brutes'!$A:$AY,MATCH(N$10,'Données brutes'!$A$1:$AY$1,0),FALSE),"")</f>
        <v>1.8628216597533553E-2</v>
      </c>
      <c r="O30" s="51">
        <f>IFERROR(VLOOKUP(_xlfn.CONCAT($B30," &amp; Tous porteurs &gt; Tous profils"),'Données brutes'!$A:$AY,MATCH(O$10,'Données brutes'!$A$1:$AY$1,0),FALSE),"")</f>
        <v>47.643350754973547</v>
      </c>
      <c r="P30" s="47">
        <f>IFERROR(VLOOKUP(_xlfn.CONCAT($B30," &amp; Tous porteurs &gt; Tous profils"),'Données brutes'!$A:$AY,MATCH(P$10,'Données brutes'!$A$1:$AY$1,0),FALSE),"")</f>
        <v>-1.4371271116176643E-2</v>
      </c>
      <c r="Q30" s="46">
        <f>IFERROR(VLOOKUP(_xlfn.CONCAT($B30," &amp; Tous porteurs &gt; Tous profils"),'Données brutes'!$A:$AY,MATCH(Q$10,'Données brutes'!$A$1:$AY$1,0),FALSE),"")</f>
        <v>4242049.7374081099</v>
      </c>
      <c r="R30" s="47">
        <f>IFERROR(VLOOKUP(_xlfn.CONCAT($B30," &amp; Tous porteurs &gt; Tous profils"),'Données brutes'!$A:$AY,MATCH(R$10,'Données brutes'!$A$1:$AY$1,0),FALSE),"")</f>
        <v>0.14194319797160104</v>
      </c>
      <c r="S30" s="49">
        <f>IFERROR(VLOOKUP(_xlfn.CONCAT($B30," &amp; Tous porteurs &gt; Tous profils"),'Données brutes'!$A:$AY,MATCH(S$10,'Données brutes'!$A$1:$AY$1,0),FALSE),"")</f>
        <v>1.4770196058318264E-2</v>
      </c>
      <c r="T30" s="81">
        <f>IFERROR(VLOOKUP(_xlfn.CONCAT($B30," &amp; Tous porteurs &gt; Tous profils"),'Données brutes'!$A:$AY,MATCH(T$10,'Données brutes'!$A$1:$AY$1,0),FALSE),"")</f>
        <v>0.12976085662200712</v>
      </c>
    </row>
    <row r="31" spans="1:21" x14ac:dyDescent="0.3">
      <c r="A31" s="80" t="str">
        <f t="shared" si="0"/>
        <v>Août 2024</v>
      </c>
      <c r="B31" s="45">
        <v>202408</v>
      </c>
      <c r="C31" s="46">
        <f>IFERROR(VLOOKUP(_xlfn.CONCAT($B31," &amp; Tous porteurs &gt; Tous profils"),'Données brutes'!$A:$AY,MATCH(C$10,'Données brutes'!$A$1:$AY$1,0),FALSE),"")</f>
        <v>299980367.58252227</v>
      </c>
      <c r="D31" s="47">
        <f>IFERROR(VLOOKUP(_xlfn.CONCAT($B31," &amp; Tous porteurs &gt; Tous profils"),'Données brutes'!$A:$AY,MATCH(D$10,'Données brutes'!$A$1:$AY$1,0),FALSE),"")</f>
        <v>8.6708804340118739E-2</v>
      </c>
      <c r="E31" s="48">
        <f>IFERROR(VLOOKUP(_xlfn.CONCAT($B31," &amp; Tous porteurs &gt; Tous profils"),'Données brutes'!$A:$AY,MATCH(E$10,'Données brutes'!$A$1:$AY$1,0),FALSE),"")</f>
        <v>6112469.1441441439</v>
      </c>
      <c r="F31" s="47">
        <f>IFERROR(VLOOKUP(_xlfn.CONCAT($B31," &amp; Tous porteurs &gt; Tous profils"),'Données brutes'!$A:$AY,MATCH(F$10,'Données brutes'!$A$1:$AY$1,0),FALSE),"")</f>
        <v>6.7978800319991928E-2</v>
      </c>
      <c r="G31" s="48">
        <f>IFERROR(VLOOKUP(_xlfn.CONCAT($B31," &amp; Tous porteurs &gt; Tous profils"),'Données brutes'!$A:$AY,MATCH(G$10,'Données brutes'!$A$1:$AY$1,0),FALSE),"")</f>
        <v>4097550.75</v>
      </c>
      <c r="H31" s="47">
        <f>IFERROR(VLOOKUP(_xlfn.CONCAT($B31," &amp; Tous porteurs &gt; Tous profils"),'Données brutes'!$A:$AY,MATCH(H$10,'Données brutes'!$A$1:$AY$1,0),FALSE),"")</f>
        <v>4.6672255661251771E-2</v>
      </c>
      <c r="I31" s="49">
        <f>IFERROR(VLOOKUP(_xlfn.CONCAT($B31," &amp; Tous porteurs &gt; Tous profils"),'Données brutes'!$A:$AY,MATCH(I$10,'Données brutes'!$A$1:$AY$1,0),FALSE),"")</f>
        <v>0.71934474604935694</v>
      </c>
      <c r="J31" s="50">
        <f>IFERROR(VLOOKUP(_xlfn.CONCAT($B31," &amp; Tous porteurs &gt; Tous profils"),'Données brutes'!$A:$AY,MATCH(J$10,'Données brutes'!$A$1:$AY$1,0),FALSE),"")</f>
        <v>1.250396030795542</v>
      </c>
      <c r="K31" s="51">
        <f>IFERROR(VLOOKUP(_xlfn.CONCAT($B31," &amp; Tous porteurs &gt; Tous profils"),'Données brutes'!$A:$AY,MATCH(K$10,'Données brutes'!$A$1:$AY$1,0),FALSE),"")</f>
        <v>73.209677166908122</v>
      </c>
      <c r="L31" s="47">
        <f>IFERROR(VLOOKUP(_xlfn.CONCAT($B31," &amp; Tous porteurs &gt; Tous profils"),'Données brutes'!$A:$AY,MATCH(L$10,'Données brutes'!$A$1:$AY$1,0),FALSE),"")</f>
        <v>3.8251275375187133E-2</v>
      </c>
      <c r="M31" s="52">
        <f>IFERROR(VLOOKUP(_xlfn.CONCAT($B31," &amp; Tous porteurs &gt; Tous profils"),'Données brutes'!$A:$AY,MATCH(M$10,'Données brutes'!$A$1:$AY$1,0),FALSE),"")</f>
        <v>1.4917372638140343</v>
      </c>
      <c r="N31" s="47">
        <f>IFERROR(VLOOKUP(_xlfn.CONCAT($B31," &amp; Tous porteurs &gt; Tous profils"),'Données brutes'!$A:$AY,MATCH(N$10,'Données brutes'!$A$1:$AY$1,0),FALSE),"")</f>
        <v>2.035646263049129E-2</v>
      </c>
      <c r="O31" s="51">
        <f>IFERROR(VLOOKUP(_xlfn.CONCAT($B31," &amp; Tous porteurs &gt; Tous profils"),'Données brutes'!$A:$AY,MATCH(O$10,'Données brutes'!$A$1:$AY$1,0),FALSE),"")</f>
        <v>49.07679049307086</v>
      </c>
      <c r="P31" s="47">
        <f>IFERROR(VLOOKUP(_xlfn.CONCAT($B31," &amp; Tous porteurs &gt; Tous profils"),'Données brutes'!$A:$AY,MATCH(P$10,'Données brutes'!$A$1:$AY$1,0),FALSE),"")</f>
        <v>1.7537805071144552E-2</v>
      </c>
      <c r="Q31" s="46">
        <f>IFERROR(VLOOKUP(_xlfn.CONCAT($B31," &amp; Tous porteurs &gt; Tous profils"),'Données brutes'!$A:$AY,MATCH(Q$10,'Données brutes'!$A$1:$AY$1,0),FALSE),"")</f>
        <v>7673616.0237792768</v>
      </c>
      <c r="R31" s="47">
        <f>IFERROR(VLOOKUP(_xlfn.CONCAT($B31," &amp; Tous porteurs &gt; Tous profils"),'Données brutes'!$A:$AY,MATCH(R$10,'Données brutes'!$A$1:$AY$1,0),FALSE),"")</f>
        <v>8.9886992518270814E-2</v>
      </c>
      <c r="S31" s="49">
        <f>IFERROR(VLOOKUP(_xlfn.CONCAT($B31," &amp; Tous porteurs &gt; Tous profils"),'Données brutes'!$A:$AY,MATCH(S$10,'Données brutes'!$A$1:$AY$1,0),FALSE),"")</f>
        <v>2.5580394095851371E-2</v>
      </c>
      <c r="T31" s="81">
        <f>IFERROR(VLOOKUP(_xlfn.CONCAT($B31," &amp; Tous porteurs &gt; Tous profils"),'Données brutes'!$A:$AY,MATCH(T$10,'Données brutes'!$A$1:$AY$1,0),FALSE),"")</f>
        <v>7.4594253042750691E-3</v>
      </c>
    </row>
    <row r="32" spans="1:21" x14ac:dyDescent="0.3">
      <c r="A32" s="80" t="str">
        <f t="shared" si="0"/>
        <v>Septembre 2024</v>
      </c>
      <c r="B32" s="45">
        <v>202409</v>
      </c>
      <c r="C32" s="46">
        <f>IFERROR(VLOOKUP(_xlfn.CONCAT($B32," &amp; Tous porteurs &gt; Tous profils"),'Données brutes'!$A:$AY,MATCH(C$10,'Données brutes'!$A$1:$AY$1,0),FALSE),"")</f>
        <v>262854412.71545041</v>
      </c>
      <c r="D32" s="47">
        <f>IFERROR(VLOOKUP(_xlfn.CONCAT($B32," &amp; Tous porteurs &gt; Tous profils"),'Données brutes'!$A:$AY,MATCH(D$10,'Données brutes'!$A$1:$AY$1,0),FALSE),"")</f>
        <v>-2.0486889661329721E-2</v>
      </c>
      <c r="E32" s="48">
        <f>IFERROR(VLOOKUP(_xlfn.CONCAT($B32," &amp; Tous porteurs &gt; Tous profils"),'Données brutes'!$A:$AY,MATCH(E$10,'Données brutes'!$A$1:$AY$1,0),FALSE),"")</f>
        <v>5629976.8018018017</v>
      </c>
      <c r="F32" s="47">
        <f>IFERROR(VLOOKUP(_xlfn.CONCAT($B32," &amp; Tous porteurs &gt; Tous profils"),'Données brutes'!$A:$AY,MATCH(F$10,'Données brutes'!$A$1:$AY$1,0),FALSE),"")</f>
        <v>-1.2134667883089145E-3</v>
      </c>
      <c r="G32" s="48">
        <f>IFERROR(VLOOKUP(_xlfn.CONCAT($B32," &amp; Tous porteurs &gt; Tous profils"),'Données brutes'!$A:$AY,MATCH(G$10,'Données brutes'!$A$1:$AY$1,0),FALSE),"")</f>
        <v>4030207.5</v>
      </c>
      <c r="H32" s="47">
        <f>IFERROR(VLOOKUP(_xlfn.CONCAT($B32," &amp; Tous porteurs &gt; Tous profils"),'Données brutes'!$A:$AY,MATCH(H$10,'Données brutes'!$A$1:$AY$1,0),FALSE),"")</f>
        <v>3.1445041525681949E-2</v>
      </c>
      <c r="I32" s="49">
        <f>IFERROR(VLOOKUP(_xlfn.CONCAT($B32," &amp; Tous porteurs &gt; Tous profils"),'Données brutes'!$A:$AY,MATCH(I$10,'Données brutes'!$A$1:$AY$1,0),FALSE),"")</f>
        <v>0.7726940913613064</v>
      </c>
      <c r="J32" s="50">
        <f>IFERROR(VLOOKUP(_xlfn.CONCAT($B32," &amp; Tous porteurs &gt; Tous profils"),'Données brutes'!$A:$AY,MATCH(J$10,'Données brutes'!$A$1:$AY$1,0),FALSE),"")</f>
        <v>0.83275028418827723</v>
      </c>
      <c r="K32" s="51">
        <f>IFERROR(VLOOKUP(_xlfn.CONCAT($B32," &amp; Tous porteurs &gt; Tous profils"),'Données brutes'!$A:$AY,MATCH(K$10,'Données brutes'!$A$1:$AY$1,0),FALSE),"")</f>
        <v>65.221061872236206</v>
      </c>
      <c r="L32" s="47">
        <f>IFERROR(VLOOKUP(_xlfn.CONCAT($B32," &amp; Tous porteurs &gt; Tous profils"),'Données brutes'!$A:$AY,MATCH(L$10,'Données brutes'!$A$1:$AY$1,0),FALSE),"")</f>
        <v>-5.0348713791086408E-2</v>
      </c>
      <c r="M32" s="52">
        <f>IFERROR(VLOOKUP(_xlfn.CONCAT($B32," &amp; Tous porteurs &gt; Tous profils"),'Données brutes'!$A:$AY,MATCH(M$10,'Données brutes'!$A$1:$AY$1,0),FALSE),"")</f>
        <v>1.3969446490786892</v>
      </c>
      <c r="N32" s="47">
        <f>IFERROR(VLOOKUP(_xlfn.CONCAT($B32," &amp; Tous porteurs &gt; Tous profils"),'Données brutes'!$A:$AY,MATCH(N$10,'Données brutes'!$A$1:$AY$1,0),FALSE),"")</f>
        <v>-3.1662868111405618E-2</v>
      </c>
      <c r="O32" s="51">
        <f>IFERROR(VLOOKUP(_xlfn.CONCAT($B32," &amp; Tous porteurs &gt; Tous profils"),'Données brutes'!$A:$AY,MATCH(O$10,'Données brutes'!$A$1:$AY$1,0),FALSE),"")</f>
        <v>46.688365151225355</v>
      </c>
      <c r="P32" s="47">
        <f>IFERROR(VLOOKUP(_xlfn.CONCAT($B32," &amp; Tous porteurs &gt; Tous profils"),'Données brutes'!$A:$AY,MATCH(P$10,'Données brutes'!$A$1:$AY$1,0),FALSE),"")</f>
        <v>-1.9296838946201267E-2</v>
      </c>
      <c r="Q32" s="46">
        <f>IFERROR(VLOOKUP(_xlfn.CONCAT($B32," &amp; Tous porteurs &gt; Tous profils"),'Données brutes'!$A:$AY,MATCH(Q$10,'Données brutes'!$A$1:$AY$1,0),FALSE),"")</f>
        <v>8958426.3127085548</v>
      </c>
      <c r="R32" s="47">
        <f>IFERROR(VLOOKUP(_xlfn.CONCAT($B32," &amp; Tous porteurs &gt; Tous profils"),'Données brutes'!$A:$AY,MATCH(R$10,'Données brutes'!$A$1:$AY$1,0),FALSE),"")</f>
        <v>0.14329015524379329</v>
      </c>
      <c r="S32" s="49">
        <f>IFERROR(VLOOKUP(_xlfn.CONCAT($B32," &amp; Tous porteurs &gt; Tous profils"),'Données brutes'!$A:$AY,MATCH(S$10,'Données brutes'!$A$1:$AY$1,0),FALSE),"")</f>
        <v>3.4081323650466469E-2</v>
      </c>
      <c r="T32" s="81">
        <f>IFERROR(VLOOKUP(_xlfn.CONCAT($B32," &amp; Tous porteurs &gt; Tous profils"),'Données brutes'!$A:$AY,MATCH(T$10,'Données brutes'!$A$1:$AY$1,0),FALSE),"")</f>
        <v>0.4882171379091631</v>
      </c>
    </row>
    <row r="33" spans="1:20" x14ac:dyDescent="0.3">
      <c r="A33" s="80" t="str">
        <f t="shared" si="0"/>
        <v>Octobre 2024</v>
      </c>
      <c r="B33" s="45">
        <v>202410</v>
      </c>
      <c r="C33" s="46">
        <f>IFERROR(VLOOKUP(_xlfn.CONCAT($B33," &amp; Tous porteurs &gt; Tous profils"),'Données brutes'!$A:$AY,MATCH(C$10,'Données brutes'!$A$1:$AY$1,0),FALSE),"")</f>
        <v>288195904.88729692</v>
      </c>
      <c r="D33" s="47">
        <f>IFERROR(VLOOKUP(_xlfn.CONCAT($B33," &amp; Tous porteurs &gt; Tous profils"),'Données brutes'!$A:$AY,MATCH(D$10,'Données brutes'!$A$1:$AY$1,0),FALSE),"")</f>
        <v>8.7937167167733588E-2</v>
      </c>
      <c r="E33" s="48">
        <f>IFERROR(VLOOKUP(_xlfn.CONCAT($B33," &amp; Tous porteurs &gt; Tous profils"),'Données brutes'!$A:$AY,MATCH(E$10,'Données brutes'!$A$1:$AY$1,0),FALSE),"")</f>
        <v>6147692.3423423423</v>
      </c>
      <c r="F33" s="47">
        <f>IFERROR(VLOOKUP(_xlfn.CONCAT($B33," &amp; Tous porteurs &gt; Tous profils"),'Données brutes'!$A:$AY,MATCH(F$10,'Données brutes'!$A$1:$AY$1,0),FALSE),"")</f>
        <v>8.0506623467124339E-2</v>
      </c>
      <c r="G33" s="48">
        <f>IFERROR(VLOOKUP(_xlfn.CONCAT($B33," &amp; Tous porteurs &gt; Tous profils"),'Données brutes'!$A:$AY,MATCH(G$10,'Données brutes'!$A$1:$AY$1,0),FALSE),"")</f>
        <v>4126451.25</v>
      </c>
      <c r="H33" s="47">
        <f>IFERROR(VLOOKUP(_xlfn.CONCAT($B33," &amp; Tous porteurs &gt; Tous profils"),'Données brutes'!$A:$AY,MATCH(H$10,'Données brutes'!$A$1:$AY$1,0),FALSE),"")</f>
        <v>5.031411482691861E-2</v>
      </c>
      <c r="I33" s="49">
        <f>IFERROR(VLOOKUP(_xlfn.CONCAT($B33," &amp; Tous porteurs &gt; Tous profils"),'Données brutes'!$A:$AY,MATCH(I$10,'Données brutes'!$A$1:$AY$1,0),FALSE),"")</f>
        <v>0.79150920799920499</v>
      </c>
      <c r="J33" s="50">
        <f>IFERROR(VLOOKUP(_xlfn.CONCAT($B33," &amp; Tous porteurs &gt; Tous profils"),'Données brutes'!$A:$AY,MATCH(J$10,'Données brutes'!$A$1:$AY$1,0),FALSE),"")</f>
        <v>1.6207392741455884</v>
      </c>
      <c r="K33" s="51">
        <f>IFERROR(VLOOKUP(_xlfn.CONCAT($B33," &amp; Tous porteurs &gt; Tous profils"),'Données brutes'!$A:$AY,MATCH(K$10,'Données brutes'!$A$1:$AY$1,0),FALSE),"")</f>
        <v>69.841102542359351</v>
      </c>
      <c r="L33" s="47">
        <f>IFERROR(VLOOKUP(_xlfn.CONCAT($B33," &amp; Tous porteurs &gt; Tous profils"),'Données brutes'!$A:$AY,MATCH(L$10,'Données brutes'!$A$1:$AY$1,0),FALSE),"")</f>
        <v>3.5820762388797389E-2</v>
      </c>
      <c r="M33" s="52">
        <f>IFERROR(VLOOKUP(_xlfn.CONCAT($B33," &amp; Tous porteurs &gt; Tous profils"),'Données brutes'!$A:$AY,MATCH(M$10,'Données brutes'!$A$1:$AY$1,0),FALSE),"")</f>
        <v>1.4898255110471357</v>
      </c>
      <c r="N33" s="47">
        <f>IFERROR(VLOOKUP(_xlfn.CONCAT($B33," &amp; Tous porteurs &gt; Tous profils"),'Données brutes'!$A:$AY,MATCH(N$10,'Données brutes'!$A$1:$AY$1,0),FALSE),"")</f>
        <v>2.8746170516028124E-2</v>
      </c>
      <c r="O33" s="51">
        <f>IFERROR(VLOOKUP(_xlfn.CONCAT($B33," &amp; Tous porteurs &gt; Tous profils"),'Données brutes'!$A:$AY,MATCH(O$10,'Données brutes'!$A$1:$AY$1,0),FALSE),"")</f>
        <v>46.878712993222258</v>
      </c>
      <c r="P33" s="47">
        <f>IFERROR(VLOOKUP(_xlfn.CONCAT($B33," &amp; Tous porteurs &gt; Tous profils"),'Données brutes'!$A:$AY,MATCH(P$10,'Données brutes'!$A$1:$AY$1,0),FALSE),"")</f>
        <v>6.8769071278491634E-3</v>
      </c>
      <c r="Q33" s="46">
        <f>IFERROR(VLOOKUP(_xlfn.CONCAT($B33," &amp; Tous porteurs &gt; Tous profils"),'Données brutes'!$A:$AY,MATCH(Q$10,'Données brutes'!$A$1:$AY$1,0),FALSE),"")</f>
        <v>8815029.2923198231</v>
      </c>
      <c r="R33" s="47">
        <f>IFERROR(VLOOKUP(_xlfn.CONCAT($B33," &amp; Tous porteurs &gt; Tous profils"),'Données brutes'!$A:$AY,MATCH(R$10,'Données brutes'!$A$1:$AY$1,0),FALSE),"")</f>
        <v>9.2348723955964607E-2</v>
      </c>
      <c r="S33" s="49">
        <f>IFERROR(VLOOKUP(_xlfn.CONCAT($B33," &amp; Tous porteurs &gt; Tous profils"),'Données brutes'!$A:$AY,MATCH(S$10,'Données brutes'!$A$1:$AY$1,0),FALSE),"")</f>
        <v>3.0586934591478893E-2</v>
      </c>
      <c r="T33" s="81">
        <f>IFERROR(VLOOKUP(_xlfn.CONCAT($B33," &amp; Tous porteurs &gt; Tous profils"),'Données brutes'!$A:$AY,MATCH(T$10,'Données brutes'!$A$1:$AY$1,0),FALSE),"")</f>
        <v>1.2352831652473126E-2</v>
      </c>
    </row>
    <row r="34" spans="1:20" x14ac:dyDescent="0.3">
      <c r="A34" s="80" t="str">
        <f t="shared" si="0"/>
        <v>Novembre 2024</v>
      </c>
      <c r="B34" s="45">
        <v>202411</v>
      </c>
      <c r="C34" s="46">
        <f>IFERROR(VLOOKUP(_xlfn.CONCAT($B34," &amp; Tous porteurs &gt; Tous profils"),'Données brutes'!$A:$AY,MATCH(C$10,'Données brutes'!$A$1:$AY$1,0),FALSE),"")</f>
        <v>294925823.00418878</v>
      </c>
      <c r="D34" s="47">
        <f>IFERROR(VLOOKUP(_xlfn.CONCAT($B34," &amp; Tous porteurs &gt; Tous profils"),'Données brutes'!$A:$AY,MATCH(D$10,'Données brutes'!$A$1:$AY$1,0),FALSE),"")</f>
        <v>8.6365930133884161E-2</v>
      </c>
      <c r="E34" s="48">
        <f>IFERROR(VLOOKUP(_xlfn.CONCAT($B34," &amp; Tous porteurs &gt; Tous profils"),'Données brutes'!$A:$AY,MATCH(E$10,'Données brutes'!$A$1:$AY$1,0),FALSE),"")</f>
        <v>5982889.6396396393</v>
      </c>
      <c r="F34" s="47">
        <f>IFERROR(VLOOKUP(_xlfn.CONCAT($B34," &amp; Tous porteurs &gt; Tous profils"),'Données brutes'!$A:$AY,MATCH(F$10,'Données brutes'!$A$1:$AY$1,0),FALSE),"")</f>
        <v>7.7440349543903553E-2</v>
      </c>
      <c r="G34" s="48">
        <f>IFERROR(VLOOKUP(_xlfn.CONCAT($B34," &amp; Tous porteurs &gt; Tous profils"),'Données brutes'!$A:$AY,MATCH(G$10,'Données brutes'!$A$1:$AY$1,0),FALSE),"")</f>
        <v>4119405</v>
      </c>
      <c r="H34" s="47">
        <f>IFERROR(VLOOKUP(_xlfn.CONCAT($B34," &amp; Tous porteurs &gt; Tous profils"),'Données brutes'!$A:$AY,MATCH(H$10,'Données brutes'!$A$1:$AY$1,0),FALSE),"")</f>
        <v>4.9166136277331685E-2</v>
      </c>
      <c r="I34" s="49">
        <f>IFERROR(VLOOKUP(_xlfn.CONCAT($B34," &amp; Tous porteurs &gt; Tous profils"),'Données brutes'!$A:$AY,MATCH(I$10,'Données brutes'!$A$1:$AY$1,0),FALSE),"")</f>
        <v>0.81380197497343432</v>
      </c>
      <c r="J34" s="50">
        <f>IFERROR(VLOOKUP(_xlfn.CONCAT($B34," &amp; Tous porteurs &gt; Tous profils"),'Données brutes'!$A:$AY,MATCH(J$10,'Données brutes'!$A$1:$AY$1,0),FALSE),"")</f>
        <v>1.0807052741898748</v>
      </c>
      <c r="K34" s="51">
        <f>IFERROR(VLOOKUP(_xlfn.CONCAT($B34," &amp; Tous porteurs &gt; Tous profils"),'Données brutes'!$A:$AY,MATCH(K$10,'Données brutes'!$A$1:$AY$1,0),FALSE),"")</f>
        <v>71.594277087149422</v>
      </c>
      <c r="L34" s="47">
        <f>IFERROR(VLOOKUP(_xlfn.CONCAT($B34," &amp; Tous porteurs &gt; Tous profils"),'Données brutes'!$A:$AY,MATCH(L$10,'Données brutes'!$A$1:$AY$1,0),FALSE),"")</f>
        <v>3.5456533117381728E-2</v>
      </c>
      <c r="M34" s="52">
        <f>IFERROR(VLOOKUP(_xlfn.CONCAT($B34," &amp; Tous porteurs &gt; Tous profils"),'Données brutes'!$A:$AY,MATCH(M$10,'Données brutes'!$A$1:$AY$1,0),FALSE),"")</f>
        <v>1.452367426761787</v>
      </c>
      <c r="N34" s="47">
        <f>IFERROR(VLOOKUP(_xlfn.CONCAT($B34," &amp; Tous porteurs &gt; Tous profils"),'Données brutes'!$A:$AY,MATCH(N$10,'Données brutes'!$A$1:$AY$1,0),FALSE),"")</f>
        <v>2.694922404462563E-2</v>
      </c>
      <c r="O34" s="51">
        <f>IFERROR(VLOOKUP(_xlfn.CONCAT($B34," &amp; Tous porteurs &gt; Tous profils"),'Données brutes'!$A:$AY,MATCH(O$10,'Données brutes'!$A$1:$AY$1,0),FALSE),"")</f>
        <v>49.294879358990265</v>
      </c>
      <c r="P34" s="47">
        <f>IFERROR(VLOOKUP(_xlfn.CONCAT($B34," &amp; Tous porteurs &gt; Tous profils"),'Données brutes'!$A:$AY,MATCH(P$10,'Données brutes'!$A$1:$AY$1,0),FALSE),"")</f>
        <v>8.284060081617417E-3</v>
      </c>
      <c r="Q34" s="46">
        <f>IFERROR(VLOOKUP(_xlfn.CONCAT($B34," &amp; Tous porteurs &gt; Tous profils"),'Données brutes'!$A:$AY,MATCH(Q$10,'Données brutes'!$A$1:$AY$1,0),FALSE),"")</f>
        <v>14615750.470180178</v>
      </c>
      <c r="R34" s="47">
        <f>IFERROR(VLOOKUP(_xlfn.CONCAT($B34," &amp; Tous porteurs &gt; Tous profils"),'Données brutes'!$A:$AY,MATCH(R$10,'Données brutes'!$A$1:$AY$1,0),FALSE),"")</f>
        <v>-0.1211657896213163</v>
      </c>
      <c r="S34" s="49">
        <f>IFERROR(VLOOKUP(_xlfn.CONCAT($B34," &amp; Tous porteurs &gt; Tous profils"),'Données brutes'!$A:$AY,MATCH(S$10,'Données brutes'!$A$1:$AY$1,0),FALSE),"")</f>
        <v>4.9557377924050391E-2</v>
      </c>
      <c r="T34" s="81">
        <f>IFERROR(VLOOKUP(_xlfn.CONCAT($B34," &amp; Tous porteurs &gt; Tous profils"),'Données brutes'!$A:$AY,MATCH(T$10,'Données brutes'!$A$1:$AY$1,0),FALSE),"")</f>
        <v>-1.1702694029975196</v>
      </c>
    </row>
    <row r="35" spans="1:20" x14ac:dyDescent="0.3">
      <c r="A35" s="80" t="str">
        <f t="shared" si="0"/>
        <v>Décembre 2024</v>
      </c>
      <c r="B35" s="45">
        <v>202412</v>
      </c>
      <c r="C35" s="46">
        <f>IFERROR(VLOOKUP(_xlfn.CONCAT($B35," &amp; Tous porteurs &gt; Tous profils"),'Données brutes'!$A:$AY,MATCH(C$10,'Données brutes'!$A$1:$AY$1,0),FALSE),"")</f>
        <v>338861385.7633332</v>
      </c>
      <c r="D35" s="47">
        <f>IFERROR(VLOOKUP(_xlfn.CONCAT($B35," &amp; Tous porteurs &gt; Tous profils"),'Données brutes'!$A:$AY,MATCH(D$10,'Données brutes'!$A$1:$AY$1,0),FALSE),"")</f>
        <v>-4.4616288744876442E-3</v>
      </c>
      <c r="E35" s="48">
        <f>IFERROR(VLOOKUP(_xlfn.CONCAT($B35," &amp; Tous porteurs &gt; Tous profils"),'Données brutes'!$A:$AY,MATCH(E$10,'Données brutes'!$A$1:$AY$1,0),FALSE),"")</f>
        <v>6645792.3423423413</v>
      </c>
      <c r="F35" s="47">
        <f>IFERROR(VLOOKUP(_xlfn.CONCAT($B35," &amp; Tous porteurs &gt; Tous profils"),'Données brutes'!$A:$AY,MATCH(F$10,'Données brutes'!$A$1:$AY$1,0),FALSE),"")</f>
        <v>2.347576351433367E-2</v>
      </c>
      <c r="G35" s="48">
        <f>IFERROR(VLOOKUP(_xlfn.CONCAT($B35," &amp; Tous porteurs &gt; Tous profils"),'Données brutes'!$A:$AY,MATCH(G$10,'Données brutes'!$A$1:$AY$1,0),FALSE),"")</f>
        <v>4257413.25</v>
      </c>
      <c r="H35" s="47">
        <f>IFERROR(VLOOKUP(_xlfn.CONCAT($B35," &amp; Tous porteurs &gt; Tous profils"),'Données brutes'!$A:$AY,MATCH(H$10,'Données brutes'!$A$1:$AY$1,0),FALSE),"")</f>
        <v>3.7580114027686573E-2</v>
      </c>
      <c r="I35" s="49">
        <f>IFERROR(VLOOKUP(_xlfn.CONCAT($B35," &amp; Tous porteurs &gt; Tous profils"),'Données brutes'!$A:$AY,MATCH(I$10,'Données brutes'!$A$1:$AY$1,0),FALSE),"")</f>
        <v>0.80172941105457496</v>
      </c>
      <c r="J35" s="50">
        <f>IFERROR(VLOOKUP(_xlfn.CONCAT($B35," &amp; Tous porteurs &gt; Tous profils"),'Données brutes'!$A:$AY,MATCH(J$10,'Données brutes'!$A$1:$AY$1,0),FALSE),"")</f>
        <v>1.6948326165855399E-2</v>
      </c>
      <c r="K35" s="51">
        <f>IFERROR(VLOOKUP(_xlfn.CONCAT($B35," &amp; Tous porteurs &gt; Tous profils"),'Données brutes'!$A:$AY,MATCH(K$10,'Données brutes'!$A$1:$AY$1,0),FALSE),"")</f>
        <v>79.593256718344918</v>
      </c>
      <c r="L35" s="47">
        <f>IFERROR(VLOOKUP(_xlfn.CONCAT($B35," &amp; Tous porteurs &gt; Tous profils"),'Données brutes'!$A:$AY,MATCH(L$10,'Données brutes'!$A$1:$AY$1,0),FALSE),"")</f>
        <v>-4.0519033020955275E-2</v>
      </c>
      <c r="M35" s="52">
        <f>IFERROR(VLOOKUP(_xlfn.CONCAT($B35," &amp; Tous porteurs &gt; Tous profils"),'Données brutes'!$A:$AY,MATCH(M$10,'Données brutes'!$A$1:$AY$1,0),FALSE),"")</f>
        <v>1.5609930143244473</v>
      </c>
      <c r="N35" s="47">
        <f>IFERROR(VLOOKUP(_xlfn.CONCAT($B35," &amp; Tous porteurs &gt; Tous profils"),'Données brutes'!$A:$AY,MATCH(N$10,'Données brutes'!$A$1:$AY$1,0),FALSE),"")</f>
        <v>-1.3593505043771992E-2</v>
      </c>
      <c r="O35" s="51">
        <f>IFERROR(VLOOKUP(_xlfn.CONCAT($B35," &amp; Tous porteurs &gt; Tous profils"),'Données brutes'!$A:$AY,MATCH(O$10,'Données brutes'!$A$1:$AY$1,0),FALSE),"")</f>
        <v>50.988861569499463</v>
      </c>
      <c r="P35" s="47">
        <f>IFERROR(VLOOKUP(_xlfn.CONCAT($B35," &amp; Tous porteurs &gt; Tous profils"),'Données brutes'!$A:$AY,MATCH(P$10,'Données brutes'!$A$1:$AY$1,0),FALSE),"")</f>
        <v>-2.7296584232627152E-2</v>
      </c>
      <c r="Q35" s="46">
        <f>IFERROR(VLOOKUP(_xlfn.CONCAT($B35," &amp; Tous porteurs &gt; Tous profils"),'Données brutes'!$A:$AY,MATCH(Q$10,'Données brutes'!$A$1:$AY$1,0),FALSE),"")</f>
        <v>10107922.717782205</v>
      </c>
      <c r="R35" s="47">
        <f>IFERROR(VLOOKUP(_xlfn.CONCAT($B35," &amp; Tous porteurs &gt; Tous profils"),'Données brutes'!$A:$AY,MATCH(R$10,'Données brutes'!$A$1:$AY$1,0),FALSE),"")</f>
        <v>-0.20053043813263838</v>
      </c>
      <c r="S35" s="49">
        <f>IFERROR(VLOOKUP(_xlfn.CONCAT($B35," &amp; Tous porteurs &gt; Tous profils"),'Données brutes'!$A:$AY,MATCH(S$10,'Données brutes'!$A$1:$AY$1,0),FALSE),"")</f>
        <v>2.9829078031457255E-2</v>
      </c>
      <c r="T35" s="81">
        <f>IFERROR(VLOOKUP(_xlfn.CONCAT($B35," &amp; Tous porteurs &gt; Tous profils"),'Données brutes'!$A:$AY,MATCH(T$10,'Données brutes'!$A$1:$AY$1,0),FALSE),"")</f>
        <v>-0.73155403155506371</v>
      </c>
    </row>
    <row r="36" spans="1:20" x14ac:dyDescent="0.3">
      <c r="A36" s="19"/>
      <c r="B36" s="20"/>
      <c r="C36" s="20"/>
      <c r="D36" s="20"/>
      <c r="E36" s="20"/>
      <c r="F36" s="20"/>
      <c r="G36" s="20"/>
      <c r="H36" s="20"/>
      <c r="I36" s="20"/>
      <c r="J36" s="20"/>
      <c r="K36" s="20"/>
      <c r="L36" s="20"/>
      <c r="M36" s="20"/>
      <c r="N36" s="20"/>
      <c r="O36" s="20"/>
      <c r="P36" s="20"/>
      <c r="Q36" s="20"/>
      <c r="R36" s="20"/>
      <c r="S36" s="20"/>
      <c r="T36" s="21"/>
    </row>
    <row r="37" spans="1:20" x14ac:dyDescent="0.3">
      <c r="A37" s="19"/>
      <c r="B37" s="20"/>
      <c r="C37" s="20"/>
      <c r="D37" s="20"/>
      <c r="E37" s="20"/>
      <c r="F37" s="20"/>
      <c r="G37" s="20"/>
      <c r="H37" s="20"/>
      <c r="I37" s="20"/>
      <c r="J37" s="20"/>
      <c r="K37" s="20"/>
      <c r="L37" s="20"/>
      <c r="M37" s="20"/>
      <c r="N37" s="20"/>
      <c r="O37" s="20"/>
      <c r="P37" s="20"/>
      <c r="Q37" s="20"/>
      <c r="R37" s="20"/>
      <c r="S37" s="20"/>
      <c r="T37" s="21"/>
    </row>
    <row r="38" spans="1:20" ht="30" customHeight="1" x14ac:dyDescent="0.3">
      <c r="A38" s="125" t="s">
        <v>114</v>
      </c>
      <c r="B38" s="126"/>
      <c r="C38" s="126"/>
      <c r="D38" s="126"/>
      <c r="E38" s="126"/>
      <c r="F38" s="126"/>
      <c r="G38" s="126"/>
      <c r="H38" s="126"/>
      <c r="I38" s="126"/>
      <c r="J38" s="126"/>
      <c r="K38" s="126"/>
      <c r="L38" s="126"/>
      <c r="M38" s="126"/>
      <c r="N38" s="126"/>
      <c r="O38" s="126"/>
      <c r="P38" s="126"/>
      <c r="Q38" s="126"/>
      <c r="R38" s="126"/>
      <c r="S38" s="126"/>
      <c r="T38" s="127"/>
    </row>
    <row r="39" spans="1:20" x14ac:dyDescent="0.3">
      <c r="A39" s="19"/>
      <c r="B39" s="20"/>
      <c r="C39" s="20"/>
      <c r="D39" s="20"/>
      <c r="E39" s="20"/>
      <c r="F39" s="20"/>
      <c r="G39" s="20"/>
      <c r="H39" s="20"/>
      <c r="I39" s="20"/>
      <c r="J39" s="20"/>
      <c r="K39" s="20"/>
      <c r="L39" s="20"/>
      <c r="M39" s="20"/>
      <c r="N39" s="20"/>
      <c r="O39" s="20"/>
      <c r="P39" s="20"/>
      <c r="Q39" s="20"/>
      <c r="R39" s="20"/>
      <c r="S39" s="20"/>
      <c r="T39" s="21"/>
    </row>
    <row r="40" spans="1:20" ht="20.399999999999999" hidden="1" x14ac:dyDescent="0.3">
      <c r="A40" s="19"/>
      <c r="B40" s="20"/>
      <c r="C40" s="76" t="s">
        <v>105</v>
      </c>
      <c r="D40" s="76" t="s">
        <v>104</v>
      </c>
      <c r="E40" s="76" t="s">
        <v>8</v>
      </c>
      <c r="F40" s="76" t="s">
        <v>9</v>
      </c>
      <c r="G40" s="20"/>
      <c r="H40" s="20"/>
      <c r="I40" s="20"/>
      <c r="J40" s="20"/>
      <c r="K40" s="20"/>
      <c r="L40" s="20"/>
      <c r="M40" s="20"/>
      <c r="N40" s="20"/>
      <c r="O40" s="20"/>
      <c r="P40" s="20"/>
      <c r="Q40" s="20"/>
      <c r="R40" s="20"/>
      <c r="S40" s="20"/>
      <c r="T40" s="21"/>
    </row>
    <row r="41" spans="1:20" ht="33" customHeight="1" x14ac:dyDescent="0.3">
      <c r="A41" s="78" t="s">
        <v>106</v>
      </c>
      <c r="B41" s="43" t="s">
        <v>99</v>
      </c>
      <c r="C41" s="43" t="s">
        <v>95</v>
      </c>
      <c r="D41" s="43" t="s">
        <v>96</v>
      </c>
      <c r="E41" s="43" t="s">
        <v>97</v>
      </c>
      <c r="F41" s="43" t="s">
        <v>98</v>
      </c>
      <c r="G41" s="20"/>
      <c r="H41" s="20"/>
      <c r="I41" s="20"/>
      <c r="J41" s="20"/>
      <c r="K41" s="20"/>
      <c r="L41" s="20"/>
      <c r="M41" s="20"/>
      <c r="N41" s="20"/>
      <c r="O41" s="20"/>
      <c r="P41" s="20"/>
      <c r="Q41" s="20"/>
      <c r="R41" s="20"/>
      <c r="S41" s="20"/>
      <c r="T41" s="21"/>
    </row>
    <row r="42" spans="1:20" x14ac:dyDescent="0.3">
      <c r="A42" s="80" t="s">
        <v>33</v>
      </c>
      <c r="B42" s="44" t="s">
        <v>60</v>
      </c>
      <c r="C42" s="49">
        <f>IFERROR(VLOOKUP(_xlfn.CONCAT(VLOOKUP($A$4,$A$11:$B$35,2,FALSE)," &amp; ",$A42," &gt; ",$B42),'Données brutes'!$A:$AY,MATCH(C$40,'Données brutes'!$A$1:$AY$1,0),FALSE),"")</f>
        <v>0.28282684327155699</v>
      </c>
      <c r="D42" s="49">
        <f>IFERROR(VLOOKUP(_xlfn.CONCAT(VLOOKUP($A$4,$A$11:$B$35,2,FALSE)," &amp; ",$A42," &gt; ",$B42),'Données brutes'!$A:$AY,MATCH(D$40,'Données brutes'!$A$1:$AY$1,0),FALSE),"")</f>
        <v>0.58121960268658179</v>
      </c>
      <c r="E42" s="52">
        <f>IFERROR(VLOOKUP(_xlfn.CONCAT(VLOOKUP($A$4,$A$11:$B$35,2,FALSE)," &amp; ",$A42," &gt; ",$B42),'Données brutes'!$A:$AY,MATCH(E$40,'Données brutes'!$A$1:$AY$1,0),FALSE),"")</f>
        <v>2.616930647221881</v>
      </c>
      <c r="F42" s="51">
        <f>IFERROR(VLOOKUP(_xlfn.CONCAT(VLOOKUP($A$4,$A$11:$B$35,2,FALSE)," &amp; ",$A42," &gt; ",$B42),'Données brutes'!$A:$AY,MATCH(F$40,'Données brutes'!$A$1:$AY$1,0),FALSE),"")</f>
        <v>62.503406688581073</v>
      </c>
      <c r="G42" s="20"/>
      <c r="H42" s="20"/>
      <c r="I42" s="20"/>
      <c r="J42" s="20"/>
      <c r="K42" s="20"/>
      <c r="L42" s="20"/>
      <c r="M42" s="20"/>
      <c r="N42" s="20"/>
      <c r="O42" s="20"/>
      <c r="P42" s="20"/>
      <c r="Q42" s="20"/>
      <c r="R42" s="20"/>
      <c r="S42" s="20"/>
      <c r="T42" s="21"/>
    </row>
    <row r="43" spans="1:20" x14ac:dyDescent="0.3">
      <c r="A43" s="80" t="s">
        <v>33</v>
      </c>
      <c r="B43" s="44" t="s">
        <v>63</v>
      </c>
      <c r="C43" s="49">
        <f>IFERROR(VLOOKUP(_xlfn.CONCAT(VLOOKUP($A$4,$A$11:$B$35,2,FALSE)," &amp; ",$A43," &gt; ",$B43),'Données brutes'!$A:$AY,MATCH(C$40,'Données brutes'!$A$1:$AY$1,0),FALSE),"")</f>
        <v>0.34956226060507517</v>
      </c>
      <c r="D43" s="49">
        <f>IFERROR(VLOOKUP(_xlfn.CONCAT(VLOOKUP($A$4,$A$11:$B$35,2,FALSE)," &amp; ",$A43," &gt; ",$B43),'Données brutes'!$A:$AY,MATCH(D$40,'Données brutes'!$A$1:$AY$1,0),FALSE),"")</f>
        <v>0.2922330320212212</v>
      </c>
      <c r="E43" s="52">
        <f>IFERROR(VLOOKUP(_xlfn.CONCAT(VLOOKUP($A$4,$A$11:$B$35,2,FALSE)," &amp; ",$A43," &gt; ",$B43),'Données brutes'!$A:$AY,MATCH(E$40,'Données brutes'!$A$1:$AY$1,0),FALSE),"")</f>
        <v>1.5176744908722</v>
      </c>
      <c r="F43" s="51">
        <f>IFERROR(VLOOKUP(_xlfn.CONCAT(VLOOKUP($A$4,$A$11:$B$35,2,FALSE)," &amp; ",$A43," &gt; ",$B43),'Données brutes'!$A:$AY,MATCH(F$40,'Données brutes'!$A$1:$AY$1,0),FALSE),"")</f>
        <v>43.84321622293551</v>
      </c>
      <c r="G43" s="20"/>
      <c r="H43" s="20"/>
      <c r="I43" s="20"/>
      <c r="J43" s="20"/>
      <c r="K43" s="20"/>
      <c r="L43" s="20"/>
      <c r="M43" s="20"/>
      <c r="N43" s="20"/>
      <c r="O43" s="20"/>
      <c r="P43" s="20"/>
      <c r="Q43" s="20"/>
      <c r="R43" s="20"/>
      <c r="S43" s="20"/>
      <c r="T43" s="21"/>
    </row>
    <row r="44" spans="1:20" x14ac:dyDescent="0.3">
      <c r="A44" s="80" t="s">
        <v>33</v>
      </c>
      <c r="B44" s="44" t="s">
        <v>65</v>
      </c>
      <c r="C44" s="49">
        <f>IFERROR(VLOOKUP(_xlfn.CONCAT(VLOOKUP($A$4,$A$11:$B$35,2,FALSE)," &amp; ",$A44," &gt; ",$B44),'Données brutes'!$A:$AY,MATCH(C$40,'Données brutes'!$A$1:$AY$1,0),FALSE),"")</f>
        <v>0.28776012053798161</v>
      </c>
      <c r="D44" s="49">
        <f>IFERROR(VLOOKUP(_xlfn.CONCAT(VLOOKUP($A$4,$A$11:$B$35,2,FALSE)," &amp; ",$A44," &gt; ",$B44),'Données brutes'!$A:$AY,MATCH(D$40,'Données brutes'!$A$1:$AY$1,0),FALSE),"")</f>
        <v>9.1790037900558827E-2</v>
      </c>
      <c r="E44" s="52">
        <f>IFERROR(VLOOKUP(_xlfn.CONCAT(VLOOKUP($A$4,$A$11:$B$35,2,FALSE)," &amp; ",$A44," &gt; ",$B44),'Données brutes'!$A:$AY,MATCH(E$40,'Données brutes'!$A$1:$AY$1,0),FALSE),"")</f>
        <v>0.77241807138316743</v>
      </c>
      <c r="F44" s="51">
        <f>IFERROR(VLOOKUP(_xlfn.CONCAT(VLOOKUP($A$4,$A$11:$B$35,2,FALSE)," &amp; ",$A44," &gt; ",$B44),'Données brutes'!$A:$AY,MATCH(F$40,'Données brutes'!$A$1:$AY$1,0),FALSE),"")</f>
        <v>32.869174090935481</v>
      </c>
      <c r="G44" s="20"/>
      <c r="H44" s="20"/>
      <c r="I44" s="20"/>
      <c r="J44" s="20"/>
      <c r="K44" s="20"/>
      <c r="L44" s="20"/>
      <c r="M44" s="20"/>
      <c r="N44" s="20"/>
      <c r="O44" s="20"/>
      <c r="P44" s="20"/>
      <c r="Q44" s="20"/>
      <c r="R44" s="20"/>
      <c r="S44" s="20"/>
      <c r="T44" s="21"/>
    </row>
    <row r="45" spans="1:20" x14ac:dyDescent="0.3">
      <c r="A45" s="80" t="s">
        <v>33</v>
      </c>
      <c r="B45" s="44" t="s">
        <v>64</v>
      </c>
      <c r="C45" s="49">
        <f>IFERROR(VLOOKUP(_xlfn.CONCAT(VLOOKUP($A$4,$A$11:$B$35,2,FALSE)," &amp; ",$A45," &gt; ",$B45),'Données brutes'!$A:$AY,MATCH(C$40,'Données brutes'!$A$1:$AY$1,0),FALSE),"")</f>
        <v>4.2392466834174483E-2</v>
      </c>
      <c r="D45" s="49">
        <f>IFERROR(VLOOKUP(_xlfn.CONCAT(VLOOKUP($A$4,$A$11:$B$35,2,FALSE)," &amp; ",$A45," &gt; ",$B45),'Données brutes'!$A:$AY,MATCH(D$40,'Données brutes'!$A$1:$AY$1,0),FALSE),"")</f>
        <v>2.5099289186879231E-2</v>
      </c>
      <c r="E45" s="52">
        <f>IFERROR(VLOOKUP(_xlfn.CONCAT(VLOOKUP($A$4,$A$11:$B$35,2,FALSE)," &amp; ",$A45," &gt; ",$B45),'Données brutes'!$A:$AY,MATCH(E$40,'Données brutes'!$A$1:$AY$1,0),FALSE),"")</f>
        <v>1.103136854852051</v>
      </c>
      <c r="F45" s="51">
        <f>IFERROR(VLOOKUP(_xlfn.CONCAT(VLOOKUP($A$4,$A$11:$B$35,2,FALSE)," &amp; ",$A45," &gt; ",$B45),'Données brutes'!$A:$AY,MATCH(F$40,'Données brutes'!$A$1:$AY$1,0),FALSE),"")</f>
        <v>42.718856032145204</v>
      </c>
      <c r="G45" s="20"/>
      <c r="H45" s="20"/>
      <c r="I45" s="20"/>
      <c r="J45" s="20"/>
      <c r="K45" s="20"/>
      <c r="L45" s="20"/>
      <c r="M45" s="20"/>
      <c r="N45" s="20"/>
      <c r="O45" s="20"/>
      <c r="P45" s="20"/>
      <c r="Q45" s="20"/>
      <c r="R45" s="20"/>
      <c r="S45" s="20"/>
      <c r="T45" s="21"/>
    </row>
    <row r="46" spans="1:20" x14ac:dyDescent="0.3">
      <c r="A46" s="80" t="s">
        <v>33</v>
      </c>
      <c r="B46" s="44" t="s">
        <v>61</v>
      </c>
      <c r="C46" s="49">
        <f>IFERROR(VLOOKUP(_xlfn.CONCAT(VLOOKUP($A$4,$A$11:$B$35,2,FALSE)," &amp; ",$A46," &gt; ",$B46),'Données brutes'!$A:$AY,MATCH(C$40,'Données brutes'!$A$1:$AY$1,0),FALSE),"")</f>
        <v>2.7381767555686543E-2</v>
      </c>
      <c r="D46" s="49">
        <f>IFERROR(VLOOKUP(_xlfn.CONCAT(VLOOKUP($A$4,$A$11:$B$35,2,FALSE)," &amp; ",$A46," &gt; ",$B46),'Données brutes'!$A:$AY,MATCH(D$40,'Données brutes'!$A$1:$AY$1,0),FALSE),"")</f>
        <v>2.4243691092018182E-3</v>
      </c>
      <c r="E46" s="52">
        <f>IFERROR(VLOOKUP(_xlfn.CONCAT(VLOOKUP($A$4,$A$11:$B$35,2,FALSE)," &amp; ",$A46," &gt; ",$B46),'Données brutes'!$A:$AY,MATCH(E$40,'Données brutes'!$A$1:$AY$1,0),FALSE),"")</f>
        <v>0.38830149938401665</v>
      </c>
      <c r="F46" s="51">
        <f>IFERROR(VLOOKUP(_xlfn.CONCAT(VLOOKUP($A$4,$A$11:$B$35,2,FALSE)," &amp; ",$A46," &gt; ",$B46),'Données brutes'!$A:$AY,MATCH(F$40,'Données brutes'!$A$1:$AY$1,0),FALSE),"")</f>
        <v>18.148656041555753</v>
      </c>
      <c r="G46" s="20"/>
      <c r="H46" s="20"/>
      <c r="I46" s="20"/>
      <c r="J46" s="20"/>
      <c r="K46" s="20"/>
      <c r="L46" s="20"/>
      <c r="M46" s="20"/>
      <c r="N46" s="20"/>
      <c r="O46" s="20"/>
      <c r="P46" s="20"/>
      <c r="Q46" s="20"/>
      <c r="R46" s="20"/>
      <c r="S46" s="20"/>
      <c r="T46" s="21"/>
    </row>
    <row r="47" spans="1:20" x14ac:dyDescent="0.3">
      <c r="A47" s="80" t="s">
        <v>33</v>
      </c>
      <c r="B47" s="44" t="s">
        <v>34</v>
      </c>
      <c r="C47" s="49">
        <f>IFERROR(VLOOKUP(_xlfn.CONCAT(VLOOKUP($A$4,$A$11:$B$35,2,FALSE)," &amp; ",$A47," &gt; ",$B47),'Données brutes'!$A:$AY,MATCH(C$40,'Données brutes'!$A$1:$AY$1,0),FALSE),"")</f>
        <v>1.0076541195525241E-2</v>
      </c>
      <c r="D47" s="49">
        <f>IFERROR(VLOOKUP(_xlfn.CONCAT(VLOOKUP($A$4,$A$11:$B$35,2,FALSE)," &amp; ",$A47," &gt; ",$B47),'Données brutes'!$A:$AY,MATCH(D$40,'Données brutes'!$A$1:$AY$1,0),FALSE),"")</f>
        <v>7.2336690955570907E-3</v>
      </c>
      <c r="E47" s="52">
        <f>IFERROR(VLOOKUP(_xlfn.CONCAT(VLOOKUP($A$4,$A$11:$B$35,2,FALSE)," &amp; ",$A47," &gt; ",$B47),'Données brutes'!$A:$AY,MATCH(E$40,'Données brutes'!$A$1:$AY$1,0),FALSE),"")</f>
        <v>1.0583853083853083</v>
      </c>
      <c r="F47" s="51">
        <f>IFERROR(VLOOKUP(_xlfn.CONCAT(VLOOKUP($A$4,$A$11:$B$35,2,FALSE)," &amp; ",$A47," &gt; ",$B47),'Données brutes'!$A:$AY,MATCH(F$40,'Données brutes'!$A$1:$AY$1,0),FALSE),"")</f>
        <v>53.985810475354278</v>
      </c>
      <c r="G47" s="20"/>
      <c r="H47" s="20"/>
      <c r="I47" s="20"/>
      <c r="J47" s="20"/>
      <c r="K47" s="20"/>
      <c r="L47" s="20"/>
      <c r="M47" s="20"/>
      <c r="N47" s="20"/>
      <c r="O47" s="20"/>
      <c r="P47" s="20"/>
      <c r="Q47" s="20"/>
      <c r="R47" s="20"/>
      <c r="S47" s="20"/>
      <c r="T47" s="21"/>
    </row>
    <row r="48" spans="1:20" x14ac:dyDescent="0.3">
      <c r="A48" s="80" t="s">
        <v>59</v>
      </c>
      <c r="B48" s="44" t="s">
        <v>68</v>
      </c>
      <c r="C48" s="49">
        <f>IFERROR(VLOOKUP(_xlfn.CONCAT(VLOOKUP($A$4,$A$11:$B$35,2,FALSE)," &amp; ",$A48," &gt; ",$B48),'Données brutes'!$A:$AY,MATCH(C$40,'Données brutes'!$A$1:$AY$1,0),FALSE),"")</f>
        <v>0.18401455390782184</v>
      </c>
      <c r="D48" s="49">
        <f>IFERROR(VLOOKUP(_xlfn.CONCAT(VLOOKUP($A$4,$A$11:$B$35,2,FALSE)," &amp; ",$A48," &gt; ",$B48),'Données brutes'!$A:$AY,MATCH(D$40,'Données brutes'!$A$1:$AY$1,0),FALSE),"")</f>
        <v>0.2106658614555553</v>
      </c>
      <c r="E48" s="52">
        <f>IFERROR(VLOOKUP(_xlfn.CONCAT(VLOOKUP($A$4,$A$11:$B$35,2,FALSE)," &amp; ",$A48," &gt; ",$B48),'Données brutes'!$A:$AY,MATCH(E$40,'Données brutes'!$A$1:$AY$1,0),FALSE),"")</f>
        <v>1.6067044098728009</v>
      </c>
      <c r="F48" s="51">
        <f>IFERROR(VLOOKUP(_xlfn.CONCAT(VLOOKUP($A$4,$A$11:$B$35,2,FALSE)," &amp; ",$A48," &gt; ",$B48),'Données brutes'!$A:$AY,MATCH(F$40,'Données brutes'!$A$1:$AY$1,0),FALSE),"")</f>
        <v>56.712955425791598</v>
      </c>
      <c r="G48" s="20"/>
      <c r="H48" s="20"/>
      <c r="I48" s="20"/>
      <c r="J48" s="20"/>
      <c r="K48" s="20"/>
      <c r="L48" s="20"/>
      <c r="M48" s="20"/>
      <c r="N48" s="20"/>
      <c r="O48" s="20"/>
      <c r="P48" s="20"/>
      <c r="Q48" s="20"/>
      <c r="R48" s="20"/>
      <c r="S48" s="20"/>
      <c r="T48" s="21"/>
    </row>
    <row r="49" spans="1:20" x14ac:dyDescent="0.3">
      <c r="A49" s="80" t="s">
        <v>59</v>
      </c>
      <c r="B49" s="44" t="s">
        <v>69</v>
      </c>
      <c r="C49" s="49">
        <f>IFERROR(VLOOKUP(_xlfn.CONCAT(VLOOKUP($A$4,$A$11:$B$35,2,FALSE)," &amp; ",$A49," &gt; ",$B49),'Données brutes'!$A:$AY,MATCH(C$40,'Données brutes'!$A$1:$AY$1,0),FALSE),"")</f>
        <v>0.16846831817418711</v>
      </c>
      <c r="D49" s="49">
        <f>IFERROR(VLOOKUP(_xlfn.CONCAT(VLOOKUP($A$4,$A$11:$B$35,2,FALSE)," &amp; ",$A49," &gt; ",$B49),'Données brutes'!$A:$AY,MATCH(D$40,'Données brutes'!$A$1:$AY$1,0),FALSE),"")</f>
        <v>0.18225725181593866</v>
      </c>
      <c r="E49" s="52">
        <f>IFERROR(VLOOKUP(_xlfn.CONCAT(VLOOKUP($A$4,$A$11:$B$35,2,FALSE)," &amp; ",$A49," &gt; ",$B49),'Données brutes'!$A:$AY,MATCH(E$40,'Données brutes'!$A$1:$AY$1,0),FALSE),"")</f>
        <v>1.6919247864152231</v>
      </c>
      <c r="F49" s="51">
        <f>IFERROR(VLOOKUP(_xlfn.CONCAT(VLOOKUP($A$4,$A$11:$B$35,2,FALSE)," &amp; ",$A49," &gt; ",$B49),'Données brutes'!$A:$AY,MATCH(F$40,'Données brutes'!$A$1:$AY$1,0),FALSE),"")</f>
        <v>50.893439136110857</v>
      </c>
      <c r="G49" s="20"/>
      <c r="H49" s="20"/>
      <c r="I49" s="20"/>
      <c r="J49" s="20"/>
      <c r="K49" s="20"/>
      <c r="L49" s="20"/>
      <c r="M49" s="20"/>
      <c r="N49" s="20"/>
      <c r="O49" s="20"/>
      <c r="P49" s="20"/>
      <c r="Q49" s="20"/>
      <c r="R49" s="20"/>
      <c r="S49" s="20"/>
      <c r="T49" s="21"/>
    </row>
    <row r="50" spans="1:20" x14ac:dyDescent="0.3">
      <c r="A50" s="80" t="s">
        <v>59</v>
      </c>
      <c r="B50" s="44" t="s">
        <v>66</v>
      </c>
      <c r="C50" s="49">
        <f>IFERROR(VLOOKUP(_xlfn.CONCAT(VLOOKUP($A$4,$A$11:$B$35,2,FALSE)," &amp; ",$A50," &gt; ",$B50),'Données brutes'!$A:$AY,MATCH(C$40,'Données brutes'!$A$1:$AY$1,0),FALSE),"")</f>
        <v>0.19069660432893143</v>
      </c>
      <c r="D50" s="49">
        <f>IFERROR(VLOOKUP(_xlfn.CONCAT(VLOOKUP($A$4,$A$11:$B$35,2,FALSE)," &amp; ",$A50," &gt; ",$B50),'Données brutes'!$A:$AY,MATCH(D$40,'Données brutes'!$A$1:$AY$1,0),FALSE),"")</f>
        <v>0.18454622026410833</v>
      </c>
      <c r="E50" s="52">
        <f>IFERROR(VLOOKUP(_xlfn.CONCAT(VLOOKUP($A$4,$A$11:$B$35,2,FALSE)," &amp; ",$A50," &gt; ",$B50),'Données brutes'!$A:$AY,MATCH(E$40,'Données brutes'!$A$1:$AY$1,0),FALSE),"")</f>
        <v>1.609742035922568</v>
      </c>
      <c r="F50" s="51">
        <f>IFERROR(VLOOKUP(_xlfn.CONCAT(VLOOKUP($A$4,$A$11:$B$35,2,FALSE)," &amp; ",$A50," &gt; ",$B50),'Données brutes'!$A:$AY,MATCH(F$40,'Données brutes'!$A$1:$AY$1,0),FALSE),"")</f>
        <v>47.850026752537481</v>
      </c>
      <c r="G50" s="20"/>
      <c r="H50" s="20"/>
      <c r="I50" s="20"/>
      <c r="J50" s="20"/>
      <c r="K50" s="20"/>
      <c r="L50" s="20"/>
      <c r="M50" s="20"/>
      <c r="N50" s="20"/>
      <c r="O50" s="20"/>
      <c r="P50" s="20"/>
      <c r="Q50" s="20"/>
      <c r="R50" s="20"/>
      <c r="S50" s="20"/>
      <c r="T50" s="21"/>
    </row>
    <row r="51" spans="1:20" x14ac:dyDescent="0.3">
      <c r="A51" s="80" t="s">
        <v>59</v>
      </c>
      <c r="B51" s="44" t="s">
        <v>62</v>
      </c>
      <c r="C51" s="49">
        <f>IFERROR(VLOOKUP(_xlfn.CONCAT(VLOOKUP($A$4,$A$11:$B$35,2,FALSE)," &amp; ",$A51," &gt; ",$B51),'Données brutes'!$A:$AY,MATCH(C$40,'Données brutes'!$A$1:$AY$1,0),FALSE),"")</f>
        <v>0.17306389037991554</v>
      </c>
      <c r="D51" s="49">
        <f>IFERROR(VLOOKUP(_xlfn.CONCAT(VLOOKUP($A$4,$A$11:$B$35,2,FALSE)," &amp; ",$A51," &gt; ",$B51),'Données brutes'!$A:$AY,MATCH(D$40,'Données brutes'!$A$1:$AY$1,0),FALSE),"")</f>
        <v>0.18022272319561611</v>
      </c>
      <c r="E51" s="52">
        <f>IFERROR(VLOOKUP(_xlfn.CONCAT(VLOOKUP($A$4,$A$11:$B$35,2,FALSE)," &amp; ",$A51," &gt; ",$B51),'Données brutes'!$A:$AY,MATCH(E$40,'Données brutes'!$A$1:$AY$1,0),FALSE),"")</f>
        <v>1.6709907016969472</v>
      </c>
      <c r="F51" s="51">
        <f>IFERROR(VLOOKUP(_xlfn.CONCAT(VLOOKUP($A$4,$A$11:$B$35,2,FALSE)," &amp; ",$A51," &gt; ",$B51),'Données brutes'!$A:$AY,MATCH(F$40,'Données brutes'!$A$1:$AY$1,0),FALSE),"")</f>
        <v>49.602701193725657</v>
      </c>
      <c r="G51" s="20"/>
      <c r="H51" s="20"/>
      <c r="I51" s="20"/>
      <c r="J51" s="20"/>
      <c r="K51" s="20"/>
      <c r="L51" s="20"/>
      <c r="M51" s="20"/>
      <c r="N51" s="20"/>
      <c r="O51" s="20"/>
      <c r="P51" s="20"/>
      <c r="Q51" s="20"/>
      <c r="R51" s="20"/>
      <c r="S51" s="20"/>
      <c r="T51" s="21"/>
    </row>
    <row r="52" spans="1:20" x14ac:dyDescent="0.3">
      <c r="A52" s="80" t="s">
        <v>59</v>
      </c>
      <c r="B52" s="44" t="s">
        <v>67</v>
      </c>
      <c r="C52" s="49">
        <f>IFERROR(VLOOKUP(_xlfn.CONCAT(VLOOKUP($A$4,$A$11:$B$35,2,FALSE)," &amp; ",$A52," &gt; ",$B52),'Données brutes'!$A:$AY,MATCH(C$40,'Données brutes'!$A$1:$AY$1,0),FALSE),"")</f>
        <v>0.12260490569009246</v>
      </c>
      <c r="D52" s="49">
        <f>IFERROR(VLOOKUP(_xlfn.CONCAT(VLOOKUP($A$4,$A$11:$B$35,2,FALSE)," &amp; ",$A52," &gt; ",$B52),'Données brutes'!$A:$AY,MATCH(D$40,'Données brutes'!$A$1:$AY$1,0),FALSE),"")</f>
        <v>0.12912145859134203</v>
      </c>
      <c r="E52" s="52">
        <f>IFERROR(VLOOKUP(_xlfn.CONCAT(VLOOKUP($A$4,$A$11:$B$35,2,FALSE)," &amp; ",$A52," &gt; ",$B52),'Données brutes'!$A:$AY,MATCH(E$40,'Données brutes'!$A$1:$AY$1,0),FALSE),"")</f>
        <v>1.5669669177779404</v>
      </c>
      <c r="F52" s="51">
        <f>IFERROR(VLOOKUP(_xlfn.CONCAT(VLOOKUP($A$4,$A$11:$B$35,2,FALSE)," &amp; ",$A52," &gt; ",$B52),'Données brutes'!$A:$AY,MATCH(F$40,'Données brutes'!$A$1:$AY$1,0),FALSE),"")</f>
        <v>53.494240168774688</v>
      </c>
      <c r="G52" s="20"/>
      <c r="H52" s="20"/>
      <c r="I52" s="20"/>
      <c r="J52" s="20"/>
      <c r="K52" s="20"/>
      <c r="L52" s="20"/>
      <c r="M52" s="20"/>
      <c r="N52" s="20"/>
      <c r="O52" s="20"/>
      <c r="P52" s="20"/>
      <c r="Q52" s="20"/>
      <c r="R52" s="20"/>
      <c r="S52" s="20"/>
      <c r="T52" s="21"/>
    </row>
    <row r="53" spans="1:20" x14ac:dyDescent="0.3">
      <c r="A53" s="80" t="s">
        <v>59</v>
      </c>
      <c r="B53" s="44" t="s">
        <v>34</v>
      </c>
      <c r="C53" s="49">
        <f>1-SUM(C48:C52)</f>
        <v>0.16115172751905171</v>
      </c>
      <c r="D53" s="49">
        <f>1-SUM(D48:D52)</f>
        <v>0.11318648467743953</v>
      </c>
      <c r="E53" s="52">
        <f>IFERROR(VLOOKUP(_xlfn.CONCAT(VLOOKUP($A$4,$A$11:$B$35,2,FALSE)," &amp; ",$A53," &gt; ",$B53),'Données brutes'!$A:$AY,MATCH(E$40,'Données brutes'!$A$1:$AY$1,0),FALSE),"")</f>
        <v>0.8775451529507694</v>
      </c>
      <c r="F53" s="51">
        <f>IFERROR(VLOOKUP(_xlfn.CONCAT(VLOOKUP($A$4,$A$11:$B$35,2,FALSE)," &amp; ",$A53," &gt; ",$B53),'Données brutes'!$A:$AY,MATCH(F$40,'Données brutes'!$A$1:$AY$1,0),FALSE),"")</f>
        <v>42.153340777407287</v>
      </c>
      <c r="G53" s="20"/>
      <c r="H53" s="20"/>
      <c r="I53" s="20"/>
      <c r="J53" s="20"/>
      <c r="K53" s="20"/>
      <c r="L53" s="20"/>
      <c r="M53" s="20"/>
      <c r="N53" s="20"/>
      <c r="O53" s="20"/>
      <c r="P53" s="20"/>
      <c r="Q53" s="20"/>
      <c r="R53" s="20"/>
      <c r="S53" s="20"/>
      <c r="T53" s="21"/>
    </row>
    <row r="54" spans="1:20" x14ac:dyDescent="0.3">
      <c r="A54" s="19"/>
      <c r="B54" s="20"/>
      <c r="C54" s="20"/>
      <c r="D54" s="20"/>
      <c r="E54" s="20"/>
      <c r="F54" s="20"/>
      <c r="G54" s="20"/>
      <c r="H54" s="20"/>
      <c r="I54" s="20"/>
      <c r="J54" s="20"/>
      <c r="K54" s="20"/>
      <c r="L54" s="20"/>
      <c r="M54" s="20"/>
      <c r="N54" s="20"/>
      <c r="O54" s="20"/>
      <c r="P54" s="20"/>
      <c r="Q54" s="20"/>
      <c r="R54" s="20"/>
      <c r="S54" s="20"/>
      <c r="T54" s="21"/>
    </row>
    <row r="55" spans="1:20" x14ac:dyDescent="0.3">
      <c r="A55" s="19"/>
      <c r="B55" s="20"/>
      <c r="C55" s="20"/>
      <c r="D55" s="20"/>
      <c r="E55" s="20"/>
      <c r="F55" s="20"/>
      <c r="G55" s="20"/>
      <c r="H55" s="20"/>
      <c r="I55" s="20"/>
      <c r="J55" s="20"/>
      <c r="K55" s="20"/>
      <c r="L55" s="20"/>
      <c r="M55" s="20"/>
      <c r="N55" s="20"/>
      <c r="O55" s="20"/>
      <c r="P55" s="20"/>
      <c r="Q55" s="20"/>
      <c r="R55" s="20"/>
      <c r="S55" s="20"/>
      <c r="T55" s="21"/>
    </row>
    <row r="56" spans="1:20" ht="30" customHeight="1" x14ac:dyDescent="0.3">
      <c r="A56" s="125" t="s">
        <v>115</v>
      </c>
      <c r="B56" s="126"/>
      <c r="C56" s="126"/>
      <c r="D56" s="126"/>
      <c r="E56" s="126"/>
      <c r="F56" s="126"/>
      <c r="G56" s="126"/>
      <c r="H56" s="126"/>
      <c r="I56" s="126"/>
      <c r="J56" s="126"/>
      <c r="K56" s="126"/>
      <c r="L56" s="126"/>
      <c r="M56" s="126"/>
      <c r="N56" s="126"/>
      <c r="O56" s="126"/>
      <c r="P56" s="126"/>
      <c r="Q56" s="126"/>
      <c r="R56" s="126"/>
      <c r="S56" s="126"/>
      <c r="T56" s="127"/>
    </row>
    <row r="57" spans="1:20" x14ac:dyDescent="0.3">
      <c r="A57" s="19"/>
      <c r="B57" s="20"/>
      <c r="C57" s="20"/>
      <c r="D57" s="20"/>
      <c r="E57" s="20"/>
      <c r="F57" s="20"/>
      <c r="G57" s="20"/>
      <c r="H57" s="20"/>
      <c r="I57" s="20"/>
      <c r="J57" s="20"/>
      <c r="K57" s="20"/>
      <c r="L57" s="20"/>
      <c r="M57" s="20"/>
      <c r="N57" s="20"/>
      <c r="O57" s="20"/>
      <c r="P57" s="20"/>
      <c r="Q57" s="20"/>
      <c r="R57" s="20"/>
      <c r="S57" s="20"/>
      <c r="T57" s="21"/>
    </row>
    <row r="58" spans="1:20" ht="33" customHeight="1" x14ac:dyDescent="0.3">
      <c r="A58" s="130" t="s">
        <v>117</v>
      </c>
      <c r="B58" s="131"/>
      <c r="C58" s="43" t="s">
        <v>111</v>
      </c>
      <c r="D58" s="43" t="s">
        <v>116</v>
      </c>
      <c r="E58" s="43" t="s">
        <v>112</v>
      </c>
      <c r="F58" s="20"/>
      <c r="G58" s="20"/>
      <c r="H58" s="20"/>
      <c r="I58" s="20"/>
      <c r="J58" s="20"/>
      <c r="K58" s="20"/>
      <c r="L58" s="20"/>
      <c r="M58" s="20"/>
      <c r="N58" s="20"/>
      <c r="O58" s="20"/>
      <c r="P58" s="20"/>
      <c r="Q58" s="20"/>
      <c r="R58" s="20"/>
      <c r="S58" s="20"/>
      <c r="T58" s="21"/>
    </row>
    <row r="59" spans="1:20" x14ac:dyDescent="0.3">
      <c r="A59" s="128" t="s">
        <v>72</v>
      </c>
      <c r="B59" s="129"/>
      <c r="C59" s="46">
        <f>IFERROR(VLOOKUP(_xlfn.CONCAT(VLOOKUP($A$4,$A$11:$B$35,2,FALSE)," &amp; Tous porteurs &gt; Tous profils"),'Données brutes'!$A:$AY,MATCH("MT_CAGNO_SELECTION_GLOW",'Données brutes'!$A$1:$AY$1,0),FALSE),"")</f>
        <v>2830218.3609790178</v>
      </c>
      <c r="D59" s="46">
        <f>IFERROR(VLOOKUP(_xlfn.CONCAT(VLOOKUP($A$4,$A$11:$B$35,2,FALSE)," &amp; Tous porteurs &gt; Tous profils"),'Données brutes'!$A:$AY,MATCH("MT_CAGNO_SELECTION_GLOW_A_1",'Données brutes'!$A$1:$AY$1,0),FALSE),"")</f>
        <v>3919418.8146369341</v>
      </c>
      <c r="E59" s="47">
        <f>IFERROR(VLOOKUP(_xlfn.CONCAT(VLOOKUP($A$4,$A$11:$B$35,2,FALSE)," &amp; Tous porteurs &gt; Tous profils"),'Données brutes'!$A:$AY,MATCH("EVOL_MT_CAGNO_SELECTION_GLOW",'Données brutes'!$A$1:$AY$1,0),FALSE),"")</f>
        <v>-0.27789846024883458</v>
      </c>
      <c r="F59" s="20"/>
      <c r="G59" s="20"/>
      <c r="H59" s="20"/>
      <c r="I59" s="20"/>
      <c r="J59" s="20"/>
      <c r="K59" s="20"/>
      <c r="L59" s="20"/>
      <c r="M59" s="20"/>
      <c r="N59" s="20"/>
      <c r="O59" s="20"/>
      <c r="P59" s="20"/>
      <c r="Q59" s="20"/>
      <c r="R59" s="20"/>
      <c r="S59" s="20"/>
      <c r="T59" s="21"/>
    </row>
    <row r="60" spans="1:20" x14ac:dyDescent="0.3">
      <c r="A60" s="128" t="s">
        <v>73</v>
      </c>
      <c r="B60" s="129"/>
      <c r="C60" s="46">
        <f>IFERROR(VLOOKUP(_xlfn.CONCAT(VLOOKUP($A$4,$A$11:$B$35,2,FALSE)," &amp; Tous porteurs &gt; Tous profils"),'Données brutes'!$A:$AY,MATCH("MT_CAGNO_JOURNEES_ECLAT",'Données brutes'!$A$1:$AY$1,0),FALSE),"")</f>
        <v>2729139.1338011953</v>
      </c>
      <c r="D60" s="46">
        <f>IFERROR(VLOOKUP(_xlfn.CONCAT(VLOOKUP($A$4,$A$11:$B$35,2,FALSE)," &amp; Tous porteurs &gt; Tous profils"),'Données brutes'!$A:$AY,MATCH("MT_CAGNO_JOURNEES_ECLAT_A_1",'Données brutes'!$A$1:$AY$1,0),FALSE),"")</f>
        <v>3034388.7597189164</v>
      </c>
      <c r="E60" s="47">
        <f>IFERROR(VLOOKUP(_xlfn.CONCAT(VLOOKUP($A$4,$A$11:$B$35,2,FALSE)," &amp; Tous porteurs &gt; Tous profils"),'Données brutes'!$A:$AY,MATCH("EVOL_MT_CAGNO_JOURNEES_ECLAT",'Données brutes'!$A$1:$AY$1,0),FALSE),"")</f>
        <v>-0.10059674289921805</v>
      </c>
      <c r="F60" s="20"/>
      <c r="G60" s="20"/>
      <c r="H60" s="20"/>
      <c r="I60" s="20"/>
      <c r="J60" s="20"/>
      <c r="K60" s="20"/>
      <c r="L60" s="20"/>
      <c r="M60" s="20"/>
      <c r="N60" s="20"/>
      <c r="O60" s="20"/>
      <c r="P60" s="20"/>
      <c r="Q60" s="20"/>
      <c r="R60" s="20"/>
      <c r="S60" s="20"/>
      <c r="T60" s="21"/>
    </row>
    <row r="61" spans="1:20" x14ac:dyDescent="0.3">
      <c r="A61" s="128" t="s">
        <v>74</v>
      </c>
      <c r="B61" s="129"/>
      <c r="C61" s="46">
        <f>IFERROR(VLOOKUP(_xlfn.CONCAT(VLOOKUP($A$4,$A$11:$B$35,2,FALSE)," &amp; Tous porteurs &gt; Tous profils"),'Données brutes'!$A:$AY,MATCH("MT_CAGNO_GRANDS_JEUX",'Données brutes'!$A$1:$AY$1,0),FALSE),"")</f>
        <v>1819426.0892007968</v>
      </c>
      <c r="D61" s="46">
        <f>IFERROR(VLOOKUP(_xlfn.CONCAT(VLOOKUP($A$4,$A$11:$B$35,2,FALSE)," &amp; Tous porteurs &gt; Tous profils"),'Données brutes'!$A:$AY,MATCH("MT_CAGNO_GRANDS_JEUX_A_1",'Données brutes'!$A$1:$AY$1,0),FALSE),"")</f>
        <v>2022925.839812611</v>
      </c>
      <c r="E61" s="47">
        <f>IFERROR(VLOOKUP(_xlfn.CONCAT(VLOOKUP($A$4,$A$11:$B$35,2,FALSE)," &amp; Tous porteurs &gt; Tous profils"),'Données brutes'!$A:$AY,MATCH("EVOL_MT_CAGNO_GRANDS_JEUX",'Données brutes'!$A$1:$AY$1,0),FALSE),"")</f>
        <v>-0.10059674289921816</v>
      </c>
      <c r="F61" s="20"/>
      <c r="G61" s="20"/>
      <c r="H61" s="20"/>
      <c r="I61" s="20"/>
      <c r="J61" s="20"/>
      <c r="K61" s="20"/>
      <c r="L61" s="20"/>
      <c r="M61" s="20"/>
      <c r="N61" s="20"/>
      <c r="O61" s="20"/>
      <c r="P61" s="20"/>
      <c r="Q61" s="20"/>
      <c r="R61" s="20"/>
      <c r="S61" s="20"/>
      <c r="T61" s="21"/>
    </row>
    <row r="62" spans="1:20" x14ac:dyDescent="0.3">
      <c r="A62" s="128" t="s">
        <v>71</v>
      </c>
      <c r="B62" s="129"/>
      <c r="C62" s="46">
        <f>IFERROR(VLOOKUP(_xlfn.CONCAT(VLOOKUP($A$4,$A$11:$B$35,2,FALSE)," &amp; Tous porteurs &gt; Tous profils"),'Données brutes'!$A:$AY,MATCH("MT_CAGNO_OFFRES_PERSONNALISEES",'Données brutes'!$A$1:$AY$1,0),FALSE),"")</f>
        <v>1314029.9533116866</v>
      </c>
      <c r="D62" s="46">
        <f>IFERROR(VLOOKUP(_xlfn.CONCAT(VLOOKUP($A$4,$A$11:$B$35,2,FALSE)," &amp; Tous porteurs &gt; Tous profils"),'Données brutes'!$A:$AY,MATCH("MT_CAGNO_OFFRES_PERSONNALISEES_A_1",'Données brutes'!$A$1:$AY$1,0),FALSE),"")</f>
        <v>2275791.5697891875</v>
      </c>
      <c r="E62" s="47">
        <f>IFERROR(VLOOKUP(_xlfn.CONCAT(VLOOKUP($A$4,$A$11:$B$35,2,FALSE)," &amp; Tous porteurs &gt; Tous profils"),'Données brutes'!$A:$AY,MATCH("EVOL_MT_CAGNO_OFFRES_PERSONNALISEES",'Données brutes'!$A$1:$AY$1,0),FALSE),"")</f>
        <v>-0.42260531642912769</v>
      </c>
      <c r="F62" s="20"/>
      <c r="G62" s="20"/>
      <c r="H62" s="20"/>
      <c r="I62" s="20"/>
      <c r="J62" s="20"/>
      <c r="K62" s="20"/>
      <c r="L62" s="20"/>
      <c r="M62" s="20"/>
      <c r="N62" s="20"/>
      <c r="O62" s="20"/>
      <c r="P62" s="20"/>
      <c r="Q62" s="20"/>
      <c r="R62" s="20"/>
      <c r="S62" s="20"/>
      <c r="T62" s="21"/>
    </row>
    <row r="63" spans="1:20" x14ac:dyDescent="0.3">
      <c r="A63" s="128" t="s">
        <v>70</v>
      </c>
      <c r="B63" s="129"/>
      <c r="C63" s="46">
        <f>IFERROR(VLOOKUP(_xlfn.CONCAT(VLOOKUP($A$4,$A$11:$B$35,2,FALSE)," &amp; Tous porteurs &gt; Tous profils"),'Données brutes'!$A:$AY,MATCH("MT_CAGNO_CADEAU_ANNIVERSAIRE",'Données brutes'!$A$1:$AY$1,0),FALSE),"")</f>
        <v>1415109.1804895089</v>
      </c>
      <c r="D63" s="46">
        <f>IFERROR(VLOOKUP(_xlfn.CONCAT(VLOOKUP($A$4,$A$11:$B$35,2,FALSE)," &amp; Tous porteurs &gt; Tous profils"),'Données brutes'!$A:$AY,MATCH("MT_CAGNO_CADEAU_ANNIVERSAIRE_A_1",'Données brutes'!$A$1:$AY$1,0),FALSE),"")</f>
        <v>1390761.51487117</v>
      </c>
      <c r="E63" s="47">
        <f>IFERROR(VLOOKUP(_xlfn.CONCAT(VLOOKUP($A$4,$A$11:$B$35,2,FALSE)," &amp; Tous porteurs &gt; Tous profils"),'Données brutes'!$A:$AY,MATCH("EVOL_MT_CAGNO_CADEAU_ANNIVERSAIRE",'Données brutes'!$A$1:$AY$1,0),FALSE),"")</f>
        <v>1.7506715103914994E-2</v>
      </c>
      <c r="F63" s="20"/>
      <c r="G63" s="20"/>
      <c r="H63" s="20"/>
      <c r="I63" s="20"/>
      <c r="J63" s="20"/>
      <c r="K63" s="20"/>
      <c r="L63" s="20"/>
      <c r="M63" s="20"/>
      <c r="N63" s="20"/>
      <c r="O63" s="20"/>
      <c r="P63" s="20"/>
      <c r="Q63" s="20"/>
      <c r="R63" s="20"/>
      <c r="S63" s="20"/>
      <c r="T63" s="21"/>
    </row>
    <row r="64" spans="1:20" x14ac:dyDescent="0.3">
      <c r="A64" s="128" t="s">
        <v>32</v>
      </c>
      <c r="B64" s="129"/>
      <c r="C64" s="46">
        <f>SUM(C59:C63)</f>
        <v>10107922.717782205</v>
      </c>
      <c r="D64" s="46">
        <f t="shared" ref="D64" si="1">SUM(D59:D63)</f>
        <v>12643286.498828819</v>
      </c>
      <c r="E64" s="47">
        <f>C64/D64-1</f>
        <v>-0.20053043813263838</v>
      </c>
      <c r="F64" s="20"/>
      <c r="G64" s="20"/>
      <c r="H64" s="20"/>
      <c r="I64" s="20"/>
      <c r="J64" s="20"/>
      <c r="K64" s="20"/>
      <c r="L64" s="20"/>
      <c r="M64" s="20"/>
      <c r="N64" s="20"/>
      <c r="O64" s="20"/>
      <c r="P64" s="20"/>
      <c r="Q64" s="20"/>
      <c r="R64" s="20"/>
      <c r="S64" s="20"/>
      <c r="T64" s="21"/>
    </row>
    <row r="65" spans="1:20" x14ac:dyDescent="0.3">
      <c r="A65" s="37"/>
      <c r="B65" s="38"/>
      <c r="C65" s="38"/>
      <c r="D65" s="38"/>
      <c r="E65" s="38"/>
      <c r="F65" s="38"/>
      <c r="G65" s="38"/>
      <c r="H65" s="38"/>
      <c r="I65" s="38"/>
      <c r="J65" s="38"/>
      <c r="K65" s="38"/>
      <c r="L65" s="38"/>
      <c r="M65" s="38"/>
      <c r="N65" s="38"/>
      <c r="O65" s="38"/>
      <c r="P65" s="38"/>
      <c r="Q65" s="38"/>
      <c r="R65" s="38"/>
      <c r="S65" s="38"/>
      <c r="T65" s="39"/>
    </row>
  </sheetData>
  <mergeCells count="11">
    <mergeCell ref="A60:B60"/>
    <mergeCell ref="A61:B61"/>
    <mergeCell ref="A62:B62"/>
    <mergeCell ref="A63:B63"/>
    <mergeCell ref="A64:B64"/>
    <mergeCell ref="A59:B59"/>
    <mergeCell ref="A1:T1"/>
    <mergeCell ref="A8:T8"/>
    <mergeCell ref="A38:T38"/>
    <mergeCell ref="A56:T56"/>
    <mergeCell ref="A58:B58"/>
  </mergeCells>
  <phoneticPr fontId="12" type="noConversion"/>
  <hyperlinks>
    <hyperlink ref="A5" location="'Données brutes'!A1" display="👉 Cliquez ici pour consulter les données brutes" xr:uid="{22F6979A-3DAB-4724-8E17-5552C08AC953}"/>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D8E2DC"/>
  </sheetPr>
  <dimension ref="A1:AY590"/>
  <sheetViews>
    <sheetView zoomScale="68" workbookViewId="0"/>
  </sheetViews>
  <sheetFormatPr baseColWidth="10" defaultColWidth="8.88671875" defaultRowHeight="14.4" x14ac:dyDescent="0.3"/>
  <cols>
    <col min="1" max="1" width="42.44140625" customWidth="1"/>
    <col min="2" max="4" width="18" customWidth="1"/>
    <col min="5" max="6" width="18" style="4" customWidth="1"/>
    <col min="7" max="7" width="18" style="5" customWidth="1"/>
    <col min="8" max="9" width="18" style="2" customWidth="1"/>
    <col min="10" max="10" width="18" style="3" customWidth="1"/>
    <col min="11" max="11" width="18" style="6" customWidth="1"/>
    <col min="12" max="12" width="18" style="3" customWidth="1"/>
    <col min="13" max="14" width="18" style="53" customWidth="1"/>
    <col min="15" max="15" width="18" style="4" customWidth="1"/>
    <col min="16" max="16" width="18" style="5" customWidth="1"/>
    <col min="17" max="23" width="18" style="4" customWidth="1"/>
    <col min="24" max="24" width="18" style="5" customWidth="1"/>
    <col min="25" max="26" width="18" style="2" customWidth="1"/>
    <col min="27" max="27" width="18" style="3" customWidth="1"/>
    <col min="28" max="28" width="18" style="6" customWidth="1"/>
    <col min="29" max="29" width="18" style="3" customWidth="1"/>
    <col min="30" max="30" width="18" style="4" customWidth="1"/>
    <col min="31" max="31" width="18" style="5" customWidth="1"/>
    <col min="32" max="36" width="18" style="3" customWidth="1"/>
    <col min="37" max="38" width="18" style="7" customWidth="1"/>
    <col min="39" max="39" width="18" style="8" customWidth="1"/>
    <col min="40" max="45" width="18" style="7" customWidth="1"/>
    <col min="46" max="46" width="18" style="8" customWidth="1"/>
    <col min="47" max="51" width="18" style="7" customWidth="1"/>
  </cols>
  <sheetData>
    <row r="1" spans="1:51" s="83" customFormat="1" ht="43.2" x14ac:dyDescent="0.3">
      <c r="A1" s="84" t="s">
        <v>133</v>
      </c>
      <c r="B1" s="84" t="s">
        <v>0</v>
      </c>
      <c r="C1" s="84" t="s">
        <v>1</v>
      </c>
      <c r="D1" s="84" t="s">
        <v>2</v>
      </c>
      <c r="E1" s="93" t="s">
        <v>3</v>
      </c>
      <c r="F1" s="93" t="s">
        <v>4</v>
      </c>
      <c r="G1" s="94" t="s">
        <v>5</v>
      </c>
      <c r="H1" s="95" t="s">
        <v>6</v>
      </c>
      <c r="I1" s="95" t="s">
        <v>35</v>
      </c>
      <c r="J1" s="96" t="s">
        <v>7</v>
      </c>
      <c r="K1" s="97" t="s">
        <v>8</v>
      </c>
      <c r="L1" s="96" t="s">
        <v>9</v>
      </c>
      <c r="M1" s="98" t="s">
        <v>104</v>
      </c>
      <c r="N1" s="98" t="s">
        <v>105</v>
      </c>
      <c r="O1" s="93" t="s">
        <v>10</v>
      </c>
      <c r="P1" s="94" t="s">
        <v>11</v>
      </c>
      <c r="Q1" s="93" t="s">
        <v>118</v>
      </c>
      <c r="R1" s="93" t="s">
        <v>119</v>
      </c>
      <c r="S1" s="93" t="s">
        <v>120</v>
      </c>
      <c r="T1" s="93" t="s">
        <v>121</v>
      </c>
      <c r="U1" s="93" t="s">
        <v>122</v>
      </c>
      <c r="V1" s="85" t="s">
        <v>12</v>
      </c>
      <c r="W1" s="85" t="s">
        <v>13</v>
      </c>
      <c r="X1" s="86" t="s">
        <v>14</v>
      </c>
      <c r="Y1" s="87" t="s">
        <v>15</v>
      </c>
      <c r="Z1" s="87" t="s">
        <v>55</v>
      </c>
      <c r="AA1" s="88" t="s">
        <v>16</v>
      </c>
      <c r="AB1" s="89" t="s">
        <v>17</v>
      </c>
      <c r="AC1" s="88" t="s">
        <v>18</v>
      </c>
      <c r="AD1" s="85" t="s">
        <v>19</v>
      </c>
      <c r="AE1" s="86" t="s">
        <v>20</v>
      </c>
      <c r="AF1" s="88" t="s">
        <v>123</v>
      </c>
      <c r="AG1" s="88" t="s">
        <v>124</v>
      </c>
      <c r="AH1" s="88" t="s">
        <v>125</v>
      </c>
      <c r="AI1" s="88" t="s">
        <v>126</v>
      </c>
      <c r="AJ1" s="88" t="s">
        <v>127</v>
      </c>
      <c r="AK1" s="90" t="s">
        <v>21</v>
      </c>
      <c r="AL1" s="90" t="s">
        <v>22</v>
      </c>
      <c r="AM1" s="91" t="s">
        <v>23</v>
      </c>
      <c r="AN1" s="90" t="s">
        <v>24</v>
      </c>
      <c r="AO1" s="92" t="s">
        <v>38</v>
      </c>
      <c r="AP1" s="90" t="s">
        <v>25</v>
      </c>
      <c r="AQ1" s="90" t="s">
        <v>26</v>
      </c>
      <c r="AR1" s="90" t="s">
        <v>27</v>
      </c>
      <c r="AS1" s="90" t="s">
        <v>28</v>
      </c>
      <c r="AT1" s="91" t="s">
        <v>29</v>
      </c>
      <c r="AU1" s="90" t="s">
        <v>128</v>
      </c>
      <c r="AV1" s="90" t="s">
        <v>129</v>
      </c>
      <c r="AW1" s="90" t="s">
        <v>130</v>
      </c>
      <c r="AX1" s="90" t="s">
        <v>131</v>
      </c>
      <c r="AY1" s="90" t="s">
        <v>132</v>
      </c>
    </row>
    <row r="2" spans="1:51" x14ac:dyDescent="0.3">
      <c r="A2" t="str">
        <f t="shared" ref="A2:A65" si="0">_xlfn.CONCAT(B2," &amp; ",C2," &gt; ",D2)</f>
        <v>202201 &amp; Tous porteurs &gt; Tous profils</v>
      </c>
      <c r="B2">
        <v>202201</v>
      </c>
      <c r="C2" t="s">
        <v>30</v>
      </c>
      <c r="D2" t="s">
        <v>31</v>
      </c>
      <c r="E2" s="4">
        <v>286265966.73867595</v>
      </c>
      <c r="F2" s="4">
        <v>224643511.30531463</v>
      </c>
      <c r="G2" s="5">
        <v>0.78473705367283597</v>
      </c>
      <c r="H2" s="2">
        <v>5000592.1171171162</v>
      </c>
      <c r="I2" s="2">
        <v>3613990.5</v>
      </c>
      <c r="J2" s="3">
        <v>62.159408361841194</v>
      </c>
      <c r="K2" s="6">
        <v>1.3836760547979072</v>
      </c>
      <c r="L2" s="3">
        <v>44.923382280341535</v>
      </c>
      <c r="M2" s="53">
        <v>1</v>
      </c>
      <c r="N2" s="53">
        <v>1</v>
      </c>
      <c r="O2" s="4">
        <v>7469359.2914639832</v>
      </c>
      <c r="P2" s="5">
        <v>3.3249833249411428E-2</v>
      </c>
    </row>
    <row r="3" spans="1:51" x14ac:dyDescent="0.3">
      <c r="A3" t="str">
        <f t="shared" si="0"/>
        <v>202202 &amp; Tous porteurs &gt; Tous profils</v>
      </c>
      <c r="B3" s="1">
        <v>202202</v>
      </c>
      <c r="C3" t="s">
        <v>30</v>
      </c>
      <c r="D3" t="s">
        <v>31</v>
      </c>
      <c r="E3" s="4">
        <v>269128067.59930313</v>
      </c>
      <c r="F3" s="4">
        <v>208933185.35959429</v>
      </c>
      <c r="G3" s="5">
        <v>0.77633368835638794</v>
      </c>
      <c r="H3" s="2">
        <v>4700363.2882882878</v>
      </c>
      <c r="I3" s="2">
        <v>3591186.75</v>
      </c>
      <c r="J3" s="3">
        <v>58.179426441577924</v>
      </c>
      <c r="K3" s="6">
        <v>1.3088607236280005</v>
      </c>
      <c r="L3" s="3">
        <v>44.450433412282187</v>
      </c>
      <c r="M3" s="53">
        <v>1</v>
      </c>
      <c r="N3" s="53">
        <v>1</v>
      </c>
      <c r="O3" s="4">
        <v>5360731.7924069725</v>
      </c>
      <c r="P3" s="5">
        <v>2.5657636833424202E-2</v>
      </c>
    </row>
    <row r="4" spans="1:51" x14ac:dyDescent="0.3">
      <c r="A4" t="str">
        <f t="shared" si="0"/>
        <v>202203 &amp; Tous porteurs &gt; Tous profils</v>
      </c>
      <c r="B4">
        <v>202203</v>
      </c>
      <c r="C4" t="s">
        <v>30</v>
      </c>
      <c r="D4" t="s">
        <v>31</v>
      </c>
      <c r="E4" s="4">
        <v>307121692.55400693</v>
      </c>
      <c r="F4" s="4">
        <v>242319399.15045056</v>
      </c>
      <c r="G4" s="5">
        <v>0.78900124942440863</v>
      </c>
      <c r="H4" s="2">
        <v>5310265.3153153146</v>
      </c>
      <c r="I4" s="2">
        <v>3690002.25</v>
      </c>
      <c r="J4" s="3">
        <v>65.669173819731569</v>
      </c>
      <c r="K4" s="6">
        <v>1.4390954139161607</v>
      </c>
      <c r="L4" s="3">
        <v>45.632258420606249</v>
      </c>
      <c r="M4" s="53">
        <v>1</v>
      </c>
      <c r="N4" s="53">
        <v>1</v>
      </c>
      <c r="O4" s="4">
        <v>6398631.3769310825</v>
      </c>
      <c r="P4" s="5">
        <v>2.6405774359643072E-2</v>
      </c>
    </row>
    <row r="5" spans="1:51" x14ac:dyDescent="0.3">
      <c r="A5" t="str">
        <f t="shared" si="0"/>
        <v>202204 &amp; Tous porteurs &gt; Tous profils</v>
      </c>
      <c r="B5">
        <v>202204</v>
      </c>
      <c r="C5" t="s">
        <v>30</v>
      </c>
      <c r="D5" t="s">
        <v>31</v>
      </c>
      <c r="E5" s="4">
        <v>320176476.79790938</v>
      </c>
      <c r="F5" s="4">
        <v>246988036.99603602</v>
      </c>
      <c r="G5" s="5">
        <v>0.77141218950925994</v>
      </c>
      <c r="H5" s="2">
        <v>5305631.3063063063</v>
      </c>
      <c r="I5" s="2">
        <v>3734290.5</v>
      </c>
      <c r="J5" s="3">
        <v>66.140552534955702</v>
      </c>
      <c r="K5" s="6">
        <v>1.4207869758140954</v>
      </c>
      <c r="L5" s="3">
        <v>46.552054362025594</v>
      </c>
      <c r="M5" s="53">
        <v>1</v>
      </c>
      <c r="N5" s="53">
        <v>1</v>
      </c>
      <c r="O5" s="4">
        <v>5799400.0691891788</v>
      </c>
      <c r="P5" s="5">
        <v>2.3480489742433375E-2</v>
      </c>
    </row>
    <row r="6" spans="1:51" x14ac:dyDescent="0.3">
      <c r="A6" t="str">
        <f t="shared" si="0"/>
        <v>202205 &amp; Tous porteurs &gt; Tous profils</v>
      </c>
      <c r="B6">
        <v>202205</v>
      </c>
      <c r="C6" t="s">
        <v>30</v>
      </c>
      <c r="D6" t="s">
        <v>31</v>
      </c>
      <c r="E6" s="4">
        <v>313414335.98606271</v>
      </c>
      <c r="F6" s="4">
        <v>237628034.19139633</v>
      </c>
      <c r="G6" s="5">
        <v>0.75819133621878565</v>
      </c>
      <c r="H6" s="2">
        <v>5204086.036036036</v>
      </c>
      <c r="I6" s="2">
        <v>3710301.75</v>
      </c>
      <c r="J6" s="3">
        <v>64.045473981030341</v>
      </c>
      <c r="K6" s="6">
        <v>1.4026045283341271</v>
      </c>
      <c r="L6" s="3">
        <v>45.661818914200374</v>
      </c>
      <c r="M6" s="53">
        <v>1</v>
      </c>
      <c r="N6" s="53">
        <v>1</v>
      </c>
      <c r="O6" s="4">
        <v>5635260.8865765808</v>
      </c>
      <c r="P6" s="5">
        <v>2.3714629907840283E-2</v>
      </c>
    </row>
    <row r="7" spans="1:51" x14ac:dyDescent="0.3">
      <c r="A7" t="str">
        <f t="shared" si="0"/>
        <v>202206 &amp; Tous porteurs &gt; Tous profils</v>
      </c>
      <c r="B7">
        <v>202206</v>
      </c>
      <c r="C7" t="s">
        <v>30</v>
      </c>
      <c r="D7" t="s">
        <v>31</v>
      </c>
      <c r="E7" s="4">
        <v>319417851.65331012</v>
      </c>
      <c r="F7" s="4">
        <v>241142988.2603603</v>
      </c>
      <c r="G7" s="5">
        <v>0.75494524495798121</v>
      </c>
      <c r="H7" s="2">
        <v>5248903.1531531531</v>
      </c>
      <c r="I7" s="2">
        <v>3718068</v>
      </c>
      <c r="J7" s="3">
        <v>64.857067772929469</v>
      </c>
      <c r="K7" s="6">
        <v>1.4117286593879277</v>
      </c>
      <c r="L7" s="3">
        <v>45.941596029543696</v>
      </c>
      <c r="M7" s="53">
        <v>1</v>
      </c>
      <c r="N7" s="53">
        <v>1</v>
      </c>
      <c r="O7" s="4">
        <v>5960292.6580826649</v>
      </c>
      <c r="P7" s="5">
        <v>2.4716840000536863E-2</v>
      </c>
    </row>
    <row r="8" spans="1:51" x14ac:dyDescent="0.3">
      <c r="A8" t="str">
        <f t="shared" si="0"/>
        <v>202207 &amp; Tous porteurs &gt; Tous profils</v>
      </c>
      <c r="B8">
        <v>202207</v>
      </c>
      <c r="C8" t="s">
        <v>30</v>
      </c>
      <c r="D8" t="s">
        <v>31</v>
      </c>
      <c r="E8" s="4">
        <v>356317068.76306617</v>
      </c>
      <c r="F8" s="4">
        <v>250652518.7207205</v>
      </c>
      <c r="G8" s="5">
        <v>0.70345358304289496</v>
      </c>
      <c r="H8" s="2">
        <v>5354706.5315315314</v>
      </c>
      <c r="I8" s="2">
        <v>3727943.25</v>
      </c>
      <c r="J8" s="3">
        <v>67.236141194134461</v>
      </c>
      <c r="K8" s="6">
        <v>1.4363701838893421</v>
      </c>
      <c r="L8" s="3">
        <v>46.809758339647026</v>
      </c>
      <c r="M8" s="53">
        <v>1</v>
      </c>
      <c r="N8" s="53">
        <v>1</v>
      </c>
      <c r="O8" s="4">
        <v>4834895.7273560697</v>
      </c>
      <c r="P8" s="5">
        <v>1.9289236557575383E-2</v>
      </c>
    </row>
    <row r="9" spans="1:51" x14ac:dyDescent="0.3">
      <c r="A9" t="str">
        <f t="shared" si="0"/>
        <v>202208 &amp; Tous porteurs &gt; Tous profils</v>
      </c>
      <c r="B9">
        <v>202208</v>
      </c>
      <c r="C9" t="s">
        <v>30</v>
      </c>
      <c r="D9" t="s">
        <v>31</v>
      </c>
      <c r="E9" s="4">
        <v>362466016.18118465</v>
      </c>
      <c r="F9" s="4">
        <v>250001462.0235132</v>
      </c>
      <c r="G9" s="5">
        <v>0.68972386613631065</v>
      </c>
      <c r="H9" s="2">
        <v>5354841.666666666</v>
      </c>
      <c r="I9" s="2">
        <v>3738363.75</v>
      </c>
      <c r="J9" s="3">
        <v>66.874568325116357</v>
      </c>
      <c r="K9" s="6">
        <v>1.4324025228060449</v>
      </c>
      <c r="L9" s="3">
        <v>46.686994235468504</v>
      </c>
      <c r="M9" s="53">
        <v>1</v>
      </c>
      <c r="N9" s="53">
        <v>1</v>
      </c>
      <c r="O9" s="4">
        <v>6334278.4056081558</v>
      </c>
      <c r="P9" s="5">
        <v>2.5336965449475661E-2</v>
      </c>
    </row>
    <row r="10" spans="1:51" x14ac:dyDescent="0.3">
      <c r="A10" t="str">
        <f t="shared" si="0"/>
        <v>202209 &amp; Tous porteurs &gt; Tous profils</v>
      </c>
      <c r="B10">
        <v>202209</v>
      </c>
      <c r="C10" t="s">
        <v>30</v>
      </c>
      <c r="D10" t="s">
        <v>31</v>
      </c>
      <c r="E10" s="4">
        <v>321717311.57317072</v>
      </c>
      <c r="F10" s="4">
        <v>243415582.41477448</v>
      </c>
      <c r="G10" s="5">
        <v>0.75661325535916191</v>
      </c>
      <c r="H10" s="2">
        <v>5288111.7117117113</v>
      </c>
      <c r="I10" s="2">
        <v>3738714</v>
      </c>
      <c r="J10" s="3">
        <v>65.106767304151774</v>
      </c>
      <c r="K10" s="6">
        <v>1.41441996143907</v>
      </c>
      <c r="L10" s="3">
        <v>46.030718654387726</v>
      </c>
      <c r="M10" s="53">
        <v>1</v>
      </c>
      <c r="N10" s="53">
        <v>1</v>
      </c>
      <c r="O10" s="4">
        <v>6906327.21683715</v>
      </c>
      <c r="P10" s="5">
        <v>2.8372576432140362E-2</v>
      </c>
    </row>
    <row r="11" spans="1:51" x14ac:dyDescent="0.3">
      <c r="A11" t="str">
        <f t="shared" si="0"/>
        <v>202210 &amp; Tous porteurs &gt; Tous profils</v>
      </c>
      <c r="B11">
        <v>202210</v>
      </c>
      <c r="C11" t="s">
        <v>30</v>
      </c>
      <c r="D11" t="s">
        <v>31</v>
      </c>
      <c r="E11" s="4">
        <v>325680305.71602786</v>
      </c>
      <c r="F11" s="4">
        <v>249586970.87999964</v>
      </c>
      <c r="G11" s="5">
        <v>0.76635573751156849</v>
      </c>
      <c r="H11" s="2">
        <v>5436410.1351351347</v>
      </c>
      <c r="I11" s="2">
        <v>3768668.25</v>
      </c>
      <c r="J11" s="3">
        <v>66.226835137319298</v>
      </c>
      <c r="K11" s="6">
        <v>1.4425281756055697</v>
      </c>
      <c r="L11" s="3">
        <v>45.910254133869827</v>
      </c>
      <c r="M11" s="53">
        <v>1</v>
      </c>
      <c r="N11" s="53">
        <v>1</v>
      </c>
      <c r="O11" s="4">
        <v>7049791.6368693905</v>
      </c>
      <c r="P11" s="5">
        <v>2.8245831951936709E-2</v>
      </c>
    </row>
    <row r="12" spans="1:51" x14ac:dyDescent="0.3">
      <c r="A12" t="str">
        <f t="shared" si="0"/>
        <v>202211 &amp; Tous porteurs &gt; Tous profils</v>
      </c>
      <c r="B12" s="1">
        <v>202211</v>
      </c>
      <c r="C12" t="s">
        <v>30</v>
      </c>
      <c r="D12" t="s">
        <v>31</v>
      </c>
      <c r="E12" s="4">
        <v>316199352.47212541</v>
      </c>
      <c r="F12" s="4">
        <v>249169521.93112606</v>
      </c>
      <c r="G12" s="5">
        <v>0.78801401705302865</v>
      </c>
      <c r="H12" s="2">
        <v>5270052.9279279271</v>
      </c>
      <c r="I12" s="2">
        <v>3766113.75</v>
      </c>
      <c r="J12" s="3">
        <v>66.160912407684464</v>
      </c>
      <c r="K12" s="6">
        <v>1.3993345070705649</v>
      </c>
      <c r="L12" s="3">
        <v>47.280269351885657</v>
      </c>
      <c r="M12" s="53">
        <v>1</v>
      </c>
      <c r="N12" s="53">
        <v>1</v>
      </c>
      <c r="O12" s="4">
        <v>10384547.769527018</v>
      </c>
      <c r="P12" s="5">
        <v>4.1676637210860214E-2</v>
      </c>
    </row>
    <row r="13" spans="1:51" x14ac:dyDescent="0.3">
      <c r="A13" t="str">
        <f t="shared" si="0"/>
        <v>202212 &amp; Tous porteurs &gt; Tous profils</v>
      </c>
      <c r="B13">
        <v>202212</v>
      </c>
      <c r="C13" t="s">
        <v>30</v>
      </c>
      <c r="D13" t="s">
        <v>31</v>
      </c>
      <c r="E13" s="4">
        <v>405933347.59756094</v>
      </c>
      <c r="F13" s="4">
        <v>319995654.84112656</v>
      </c>
      <c r="G13" s="5">
        <v>0.78829605090333121</v>
      </c>
      <c r="H13" s="2">
        <v>6222578.3783783782</v>
      </c>
      <c r="I13" s="2">
        <v>3933486</v>
      </c>
      <c r="J13" s="3">
        <v>81.351669954113618</v>
      </c>
      <c r="K13" s="6">
        <v>1.5819500510179465</v>
      </c>
      <c r="L13" s="3">
        <v>51.424929568266577</v>
      </c>
      <c r="M13" s="53">
        <v>1</v>
      </c>
      <c r="N13" s="53">
        <v>1</v>
      </c>
      <c r="O13" s="4">
        <v>10274777.118536033</v>
      </c>
      <c r="P13" s="5">
        <v>3.2109114492936845E-2</v>
      </c>
    </row>
    <row r="14" spans="1:51" x14ac:dyDescent="0.3">
      <c r="A14" t="str">
        <f t="shared" si="0"/>
        <v>202301 &amp; Tous porteurs &gt; Tous profils</v>
      </c>
      <c r="B14">
        <v>202301</v>
      </c>
      <c r="C14" t="s">
        <v>30</v>
      </c>
      <c r="D14" t="s">
        <v>31</v>
      </c>
      <c r="E14" s="4">
        <v>312795411.47212541</v>
      </c>
      <c r="F14" s="4">
        <v>246549225.81761274</v>
      </c>
      <c r="G14" s="5">
        <v>0.78821241225139849</v>
      </c>
      <c r="H14" s="2">
        <v>5355275.4504504502</v>
      </c>
      <c r="I14" s="2">
        <v>3771040.5</v>
      </c>
      <c r="J14" s="3">
        <v>65.379628200124799</v>
      </c>
      <c r="K14" s="6">
        <v>1.4201055253716979</v>
      </c>
      <c r="L14" s="3">
        <v>46.038570396388231</v>
      </c>
      <c r="M14" s="53">
        <v>1</v>
      </c>
      <c r="N14" s="53">
        <v>1</v>
      </c>
      <c r="O14" s="4">
        <v>8587065.8514864761</v>
      </c>
      <c r="P14" s="5">
        <v>3.482901162236398E-2</v>
      </c>
      <c r="Q14" s="4">
        <f t="shared" ref="Q14:Q25" si="1">31%*$O14</f>
        <v>2661990.4139608075</v>
      </c>
      <c r="R14" s="4">
        <f t="shared" ref="R14:R25" si="2">24%*$O14</f>
        <v>2060895.8043567543</v>
      </c>
      <c r="S14" s="4">
        <f t="shared" ref="S14:S25" si="3">16%*$O14</f>
        <v>1373930.5362378361</v>
      </c>
      <c r="T14" s="4">
        <f t="shared" ref="T14:T25" si="4">18%*$O14</f>
        <v>1545671.8532675656</v>
      </c>
      <c r="U14" s="4">
        <f t="shared" ref="U14:U25" si="5">11%*$O14</f>
        <v>944577.2436635124</v>
      </c>
      <c r="V14" s="4">
        <v>286265966.73867595</v>
      </c>
      <c r="W14" s="4">
        <v>224643511.30531463</v>
      </c>
      <c r="X14" s="5">
        <v>0.78473705367283597</v>
      </c>
      <c r="Y14" s="2">
        <v>5000592.1171171162</v>
      </c>
      <c r="Z14" s="2">
        <v>3613990.5</v>
      </c>
      <c r="AA14" s="3">
        <v>62.159408361841194</v>
      </c>
      <c r="AB14" s="6">
        <v>1.3836760547979072</v>
      </c>
      <c r="AC14" s="3">
        <v>44.923382280341535</v>
      </c>
      <c r="AD14" s="4">
        <v>7469359.2914639832</v>
      </c>
      <c r="AE14" s="5">
        <v>3.3249833249411428E-2</v>
      </c>
      <c r="AK14" s="7">
        <v>9.2674113642252864E-2</v>
      </c>
      <c r="AL14" s="7">
        <v>9.7513230562559672E-2</v>
      </c>
      <c r="AM14" s="8">
        <v>0.34753585785625152</v>
      </c>
      <c r="AN14" s="7">
        <v>7.0928267098459452E-2</v>
      </c>
      <c r="AO14" s="7">
        <v>4.3456118658862009E-2</v>
      </c>
      <c r="AP14" s="7">
        <v>5.1805831541029468E-2</v>
      </c>
      <c r="AQ14" s="7">
        <v>2.6328034258792821E-2</v>
      </c>
      <c r="AR14" s="7">
        <v>2.4824224255587835E-2</v>
      </c>
      <c r="AS14" s="7">
        <v>0.14963888017809146</v>
      </c>
      <c r="AT14" s="8">
        <v>0.15791783729525513</v>
      </c>
    </row>
    <row r="15" spans="1:51" x14ac:dyDescent="0.3">
      <c r="A15" t="str">
        <f t="shared" si="0"/>
        <v>202302 &amp; Tous porteurs &gt; Tous profils</v>
      </c>
      <c r="B15">
        <v>202302</v>
      </c>
      <c r="C15" t="s">
        <v>30</v>
      </c>
      <c r="D15" t="s">
        <v>31</v>
      </c>
      <c r="E15" s="4">
        <v>296642093.24912894</v>
      </c>
      <c r="F15" s="4">
        <v>231077650.72045037</v>
      </c>
      <c r="G15" s="5">
        <v>0.77897795349759891</v>
      </c>
      <c r="H15" s="2">
        <v>5027840.3153153146</v>
      </c>
      <c r="I15" s="2">
        <v>3757904.25</v>
      </c>
      <c r="J15" s="3">
        <v>61.491095926792276</v>
      </c>
      <c r="K15" s="6">
        <v>1.3379373131487622</v>
      </c>
      <c r="L15" s="3">
        <v>45.959624058975038</v>
      </c>
      <c r="M15" s="53">
        <v>1</v>
      </c>
      <c r="N15" s="53">
        <v>1</v>
      </c>
      <c r="O15" s="4">
        <v>5586710.7211369341</v>
      </c>
      <c r="P15" s="5">
        <v>2.4176767868804155E-2</v>
      </c>
      <c r="Q15" s="4">
        <f t="shared" si="1"/>
        <v>1731880.3235524495</v>
      </c>
      <c r="R15" s="4">
        <f t="shared" si="2"/>
        <v>1340810.5730728642</v>
      </c>
      <c r="S15" s="4">
        <f t="shared" si="3"/>
        <v>893873.71538190951</v>
      </c>
      <c r="T15" s="4">
        <f t="shared" si="4"/>
        <v>1005607.9298046482</v>
      </c>
      <c r="U15" s="4">
        <f t="shared" si="5"/>
        <v>614538.17932506278</v>
      </c>
      <c r="V15" s="4">
        <v>269128067.59930313</v>
      </c>
      <c r="W15" s="4">
        <v>208933185.35959429</v>
      </c>
      <c r="X15" s="5">
        <v>0.77633368835638794</v>
      </c>
      <c r="Y15" s="2">
        <v>4700363.2882882878</v>
      </c>
      <c r="Z15" s="2">
        <v>3591186.75</v>
      </c>
      <c r="AA15" s="3">
        <v>58.179426441577924</v>
      </c>
      <c r="AB15" s="6">
        <v>1.3088607236280005</v>
      </c>
      <c r="AC15" s="3">
        <v>44.450433412282187</v>
      </c>
      <c r="AD15" s="4">
        <v>5360731.7924069725</v>
      </c>
      <c r="AE15" s="5">
        <v>2.5657636833424202E-2</v>
      </c>
      <c r="AK15" s="7">
        <v>0.10223395090396381</v>
      </c>
      <c r="AL15" s="7">
        <v>0.10598826281590124</v>
      </c>
      <c r="AM15" s="8">
        <v>0.26442651412109663</v>
      </c>
      <c r="AN15" s="7">
        <v>6.9670577983405702E-2</v>
      </c>
      <c r="AO15" s="7">
        <v>4.6424068589582479E-2</v>
      </c>
      <c r="AP15" s="7">
        <v>5.6921659214702602E-2</v>
      </c>
      <c r="AQ15" s="7">
        <v>2.2215189894433385E-2</v>
      </c>
      <c r="AR15" s="7">
        <v>3.3952214429383787E-2</v>
      </c>
      <c r="AS15" s="7">
        <v>4.2154492610513072E-2</v>
      </c>
      <c r="AT15" s="8">
        <v>-0.14808689646200468</v>
      </c>
    </row>
    <row r="16" spans="1:51" x14ac:dyDescent="0.3">
      <c r="A16" t="str">
        <f t="shared" si="0"/>
        <v>202303 &amp; Tous porteurs &gt; Tous profils</v>
      </c>
      <c r="B16">
        <v>202303</v>
      </c>
      <c r="C16" t="s">
        <v>30</v>
      </c>
      <c r="D16" t="s">
        <v>31</v>
      </c>
      <c r="E16" s="4">
        <v>335988881.59930313</v>
      </c>
      <c r="F16" s="4">
        <v>265540379.53108105</v>
      </c>
      <c r="G16" s="5">
        <v>0.79032490083336082</v>
      </c>
      <c r="H16" s="2">
        <v>5691992.3423423423</v>
      </c>
      <c r="I16" s="2">
        <v>3868860.75</v>
      </c>
      <c r="J16" s="3">
        <v>68.635289996178088</v>
      </c>
      <c r="K16" s="6">
        <v>1.4712321559627966</v>
      </c>
      <c r="L16" s="3">
        <v>46.651570058473958</v>
      </c>
      <c r="M16" s="53">
        <v>1</v>
      </c>
      <c r="N16" s="53">
        <v>1</v>
      </c>
      <c r="O16" s="4">
        <v>7131727.4052477386</v>
      </c>
      <c r="P16" s="5">
        <v>2.6857412111264162E-2</v>
      </c>
      <c r="Q16" s="4">
        <f t="shared" si="1"/>
        <v>2210835.4956267988</v>
      </c>
      <c r="R16" s="4">
        <f t="shared" si="2"/>
        <v>1711614.5772594572</v>
      </c>
      <c r="S16" s="4">
        <f t="shared" si="3"/>
        <v>1141076.3848396381</v>
      </c>
      <c r="T16" s="4">
        <f t="shared" si="4"/>
        <v>1283710.9329445928</v>
      </c>
      <c r="U16" s="4">
        <f t="shared" si="5"/>
        <v>784490.01457725128</v>
      </c>
      <c r="V16" s="4">
        <v>307121692.55400693</v>
      </c>
      <c r="W16" s="4">
        <v>242319399.15045056</v>
      </c>
      <c r="X16" s="5">
        <v>0.78900124942440863</v>
      </c>
      <c r="Y16" s="2">
        <v>5310265.3153153146</v>
      </c>
      <c r="Z16" s="2">
        <v>3690002.25</v>
      </c>
      <c r="AA16" s="3">
        <v>65.669173819731569</v>
      </c>
      <c r="AB16" s="6">
        <v>1.4390954139161607</v>
      </c>
      <c r="AC16" s="3">
        <v>45.632258420606249</v>
      </c>
      <c r="AD16" s="4">
        <v>6398631.3769310825</v>
      </c>
      <c r="AE16" s="5">
        <v>2.6405774359643072E-2</v>
      </c>
      <c r="AK16" s="7">
        <v>9.3992673735411758E-2</v>
      </c>
      <c r="AL16" s="7">
        <v>9.582798761486333E-2</v>
      </c>
      <c r="AM16" s="8">
        <v>0.13236514089521867</v>
      </c>
      <c r="AN16" s="7">
        <v>7.1884737270299981E-2</v>
      </c>
      <c r="AO16" s="7">
        <v>4.8471108655828044E-2</v>
      </c>
      <c r="AP16" s="7">
        <v>4.516755737766398E-2</v>
      </c>
      <c r="AQ16" s="7">
        <v>2.2331210103146093E-2</v>
      </c>
      <c r="AR16" s="7">
        <v>2.2337523347461863E-2</v>
      </c>
      <c r="AS16" s="7">
        <v>0.11457075507735603</v>
      </c>
      <c r="AT16" s="8">
        <v>4.5163775162108954E-2</v>
      </c>
    </row>
    <row r="17" spans="1:51" x14ac:dyDescent="0.3">
      <c r="A17" t="str">
        <f t="shared" si="0"/>
        <v>202304 &amp; Tous porteurs &gt; Tous profils</v>
      </c>
      <c r="B17">
        <v>202304</v>
      </c>
      <c r="C17" t="s">
        <v>30</v>
      </c>
      <c r="D17" t="s">
        <v>31</v>
      </c>
      <c r="E17" s="4">
        <v>352633905.56968641</v>
      </c>
      <c r="F17" s="4">
        <v>275162577.75855827</v>
      </c>
      <c r="G17" s="5">
        <v>0.78030663930068833</v>
      </c>
      <c r="H17" s="2">
        <v>5594111.036036036</v>
      </c>
      <c r="I17" s="2">
        <v>3934875</v>
      </c>
      <c r="J17" s="3">
        <v>69.929178883333847</v>
      </c>
      <c r="K17" s="6">
        <v>1.4216743952567834</v>
      </c>
      <c r="L17" s="3">
        <v>49.187900630863652</v>
      </c>
      <c r="M17" s="53">
        <v>1</v>
      </c>
      <c r="N17" s="53">
        <v>1</v>
      </c>
      <c r="O17" s="4">
        <v>5833100.147837841</v>
      </c>
      <c r="P17" s="5">
        <v>2.1198740742122649E-2</v>
      </c>
      <c r="Q17" s="4">
        <f t="shared" si="1"/>
        <v>1808261.0458297306</v>
      </c>
      <c r="R17" s="4">
        <f t="shared" si="2"/>
        <v>1399944.0354810818</v>
      </c>
      <c r="S17" s="4">
        <f t="shared" si="3"/>
        <v>933296.02365405462</v>
      </c>
      <c r="T17" s="4">
        <f t="shared" si="4"/>
        <v>1049958.0266108112</v>
      </c>
      <c r="U17" s="4">
        <f t="shared" si="5"/>
        <v>641641.01626216248</v>
      </c>
      <c r="V17" s="4">
        <v>320176476.79790938</v>
      </c>
      <c r="W17" s="4">
        <v>246988036.99603602</v>
      </c>
      <c r="X17" s="5">
        <v>0.77141218950925994</v>
      </c>
      <c r="Y17" s="2">
        <v>5305631.3063063063</v>
      </c>
      <c r="Z17" s="2">
        <v>3734290.5</v>
      </c>
      <c r="AA17" s="3">
        <v>66.140552534955702</v>
      </c>
      <c r="AB17" s="6">
        <v>1.4207869758140954</v>
      </c>
      <c r="AC17" s="3">
        <v>46.552054362025594</v>
      </c>
      <c r="AD17" s="4">
        <v>5799400.0691891788</v>
      </c>
      <c r="AE17" s="5">
        <v>2.3480489742433375E-2</v>
      </c>
      <c r="AK17" s="7">
        <v>0.10137355840873874</v>
      </c>
      <c r="AL17" s="7">
        <v>0.11407249154733123</v>
      </c>
      <c r="AM17" s="8">
        <v>0.88944497914283938</v>
      </c>
      <c r="AN17" s="7">
        <v>5.4372366467839717E-2</v>
      </c>
      <c r="AO17" s="7">
        <v>5.3714219608785196E-2</v>
      </c>
      <c r="AP17" s="7">
        <v>5.7281443882341909E-2</v>
      </c>
      <c r="AQ17" s="7">
        <v>6.2459711258222583E-4</v>
      </c>
      <c r="AR17" s="7">
        <v>5.662148115611898E-2</v>
      </c>
      <c r="AS17" s="7">
        <v>5.8109594521169594E-3</v>
      </c>
      <c r="AT17" s="8">
        <v>-0.22817490003107266</v>
      </c>
    </row>
    <row r="18" spans="1:51" x14ac:dyDescent="0.3">
      <c r="A18" t="str">
        <f t="shared" si="0"/>
        <v>202305 &amp; Tous porteurs &gt; Tous profils</v>
      </c>
      <c r="B18">
        <v>202305</v>
      </c>
      <c r="C18" t="s">
        <v>30</v>
      </c>
      <c r="D18" t="s">
        <v>31</v>
      </c>
      <c r="E18" s="4">
        <v>348175675.56794423</v>
      </c>
      <c r="F18" s="4">
        <v>268454132.63301808</v>
      </c>
      <c r="G18" s="5">
        <v>0.77103069361498511</v>
      </c>
      <c r="H18" s="2">
        <v>5506165.9909909908</v>
      </c>
      <c r="I18" s="2">
        <v>3889272</v>
      </c>
      <c r="J18" s="3">
        <v>69.024262801114986</v>
      </c>
      <c r="K18" s="6">
        <v>1.4157317850206905</v>
      </c>
      <c r="L18" s="3">
        <v>48.755183383910691</v>
      </c>
      <c r="M18" s="53">
        <v>1</v>
      </c>
      <c r="N18" s="53">
        <v>1</v>
      </c>
      <c r="O18" s="4">
        <v>5166951.6314414525</v>
      </c>
      <c r="P18" s="5">
        <v>1.9247055654400276E-2</v>
      </c>
      <c r="Q18" s="4">
        <f t="shared" si="1"/>
        <v>1601755.0057468503</v>
      </c>
      <c r="R18" s="4">
        <f t="shared" si="2"/>
        <v>1240068.3915459486</v>
      </c>
      <c r="S18" s="4">
        <f t="shared" si="3"/>
        <v>826712.26103063242</v>
      </c>
      <c r="T18" s="4">
        <f t="shared" si="4"/>
        <v>930051.29365946143</v>
      </c>
      <c r="U18" s="4">
        <f t="shared" si="5"/>
        <v>568364.67945855984</v>
      </c>
      <c r="V18" s="4">
        <v>313414335.98606271</v>
      </c>
      <c r="W18" s="4">
        <v>237628034.19139633</v>
      </c>
      <c r="X18" s="5">
        <v>0.75819133621878565</v>
      </c>
      <c r="Y18" s="2">
        <v>5204086.036036036</v>
      </c>
      <c r="Z18" s="2">
        <v>3710301.75</v>
      </c>
      <c r="AA18" s="3">
        <v>64.045473981030341</v>
      </c>
      <c r="AB18" s="6">
        <v>1.4026045283341271</v>
      </c>
      <c r="AC18" s="3">
        <v>45.661818914200374</v>
      </c>
      <c r="AD18" s="4">
        <v>5635260.8865765808</v>
      </c>
      <c r="AE18" s="5">
        <v>2.3714629907840283E-2</v>
      </c>
      <c r="AK18" s="7">
        <v>0.11091177266194774</v>
      </c>
      <c r="AL18" s="7">
        <v>0.12972416552835275</v>
      </c>
      <c r="AM18" s="8">
        <v>1.2839357396199458</v>
      </c>
      <c r="AN18" s="7">
        <v>5.8046687326685609E-2</v>
      </c>
      <c r="AO18" s="7">
        <v>4.823603632777318E-2</v>
      </c>
      <c r="AP18" s="7">
        <v>7.773833981710121E-2</v>
      </c>
      <c r="AQ18" s="7">
        <v>9.3592002744742331E-3</v>
      </c>
      <c r="AR18" s="7">
        <v>6.7745099587969149E-2</v>
      </c>
      <c r="AS18" s="7">
        <v>-8.3103385018191367E-2</v>
      </c>
      <c r="AT18" s="8">
        <v>-0.4467574253440007</v>
      </c>
    </row>
    <row r="19" spans="1:51" x14ac:dyDescent="0.3">
      <c r="A19" t="str">
        <f t="shared" si="0"/>
        <v>202306 &amp; Tous porteurs &gt; Tous profils</v>
      </c>
      <c r="B19">
        <v>202306</v>
      </c>
      <c r="C19" t="s">
        <v>30</v>
      </c>
      <c r="D19" t="s">
        <v>31</v>
      </c>
      <c r="E19" s="4">
        <v>364104002.17421603</v>
      </c>
      <c r="F19" s="4">
        <v>277874000.55675656</v>
      </c>
      <c r="G19" s="5">
        <v>0.76317205770179852</v>
      </c>
      <c r="H19" s="2">
        <v>5719750.4504504502</v>
      </c>
      <c r="I19" s="2">
        <v>3912485.25</v>
      </c>
      <c r="J19" s="3">
        <v>71.02237652059047</v>
      </c>
      <c r="K19" s="6">
        <v>1.461922559439796</v>
      </c>
      <c r="L19" s="3">
        <v>48.581490217789664</v>
      </c>
      <c r="M19" s="53">
        <v>1</v>
      </c>
      <c r="N19" s="53">
        <v>1</v>
      </c>
      <c r="O19" s="4">
        <v>6333596.2388738729</v>
      </c>
      <c r="P19" s="5">
        <v>2.2793050901429038E-2</v>
      </c>
      <c r="Q19" s="4">
        <f t="shared" si="1"/>
        <v>1963414.8340509005</v>
      </c>
      <c r="R19" s="4">
        <f t="shared" si="2"/>
        <v>1520063.0973297295</v>
      </c>
      <c r="S19" s="4">
        <f t="shared" si="3"/>
        <v>1013375.3982198196</v>
      </c>
      <c r="T19" s="4">
        <f t="shared" si="4"/>
        <v>1140047.3229972972</v>
      </c>
      <c r="U19" s="4">
        <f t="shared" si="5"/>
        <v>696695.58627612598</v>
      </c>
      <c r="V19" s="4">
        <v>319417851.65331012</v>
      </c>
      <c r="W19" s="4">
        <v>241142988.2603603</v>
      </c>
      <c r="X19" s="5">
        <v>0.75494524495798121</v>
      </c>
      <c r="Y19" s="2">
        <v>5248903.1531531531</v>
      </c>
      <c r="Z19" s="2">
        <v>3718068</v>
      </c>
      <c r="AA19" s="3">
        <v>64.857067772929469</v>
      </c>
      <c r="AB19" s="6">
        <v>1.4117286593879277</v>
      </c>
      <c r="AC19" s="3">
        <v>45.941596029543696</v>
      </c>
      <c r="AD19" s="4">
        <v>5960292.6580826649</v>
      </c>
      <c r="AE19" s="5">
        <v>2.4716840000536863E-2</v>
      </c>
      <c r="AK19" s="7">
        <v>0.1398987260405451</v>
      </c>
      <c r="AL19" s="7">
        <v>0.15232046580072267</v>
      </c>
      <c r="AM19" s="8">
        <v>0.82268127438173133</v>
      </c>
      <c r="AN19" s="7">
        <v>8.9703940720347708E-2</v>
      </c>
      <c r="AO19" s="7">
        <v>5.2289858603984607E-2</v>
      </c>
      <c r="AP19" s="7">
        <v>9.5059936555354385E-2</v>
      </c>
      <c r="AQ19" s="7">
        <v>3.5554920358158881E-2</v>
      </c>
      <c r="AR19" s="7">
        <v>5.7461960758793174E-2</v>
      </c>
      <c r="AS19" s="7">
        <v>6.2631753540654866E-2</v>
      </c>
      <c r="AT19" s="8">
        <v>-0.19237890991078249</v>
      </c>
    </row>
    <row r="20" spans="1:51" x14ac:dyDescent="0.3">
      <c r="A20" t="str">
        <f t="shared" si="0"/>
        <v>202307 &amp; Tous porteurs &gt; Tous profils</v>
      </c>
      <c r="B20">
        <v>202307</v>
      </c>
      <c r="C20" t="s">
        <v>30</v>
      </c>
      <c r="D20" t="s">
        <v>31</v>
      </c>
      <c r="E20" s="4">
        <v>385736833.63066202</v>
      </c>
      <c r="F20" s="4">
        <v>275727600.6523425</v>
      </c>
      <c r="G20" s="5">
        <v>0.71480754911870326</v>
      </c>
      <c r="H20" s="2">
        <v>5704154.7297297288</v>
      </c>
      <c r="I20" s="2">
        <v>3922956</v>
      </c>
      <c r="J20" s="3">
        <v>70.285672501129881</v>
      </c>
      <c r="K20" s="6">
        <v>1.4540450440254056</v>
      </c>
      <c r="L20" s="3">
        <v>48.338029684795536</v>
      </c>
      <c r="M20" s="53">
        <v>1</v>
      </c>
      <c r="N20" s="53">
        <v>1</v>
      </c>
      <c r="O20" s="4">
        <v>3714764.2237749952</v>
      </c>
      <c r="P20" s="5">
        <v>1.3472587492098193E-2</v>
      </c>
      <c r="Q20" s="4">
        <f t="shared" si="1"/>
        <v>1151576.9093702484</v>
      </c>
      <c r="R20" s="4">
        <f t="shared" si="2"/>
        <v>891543.4137059988</v>
      </c>
      <c r="S20" s="4">
        <f t="shared" si="3"/>
        <v>594362.27580399928</v>
      </c>
      <c r="T20" s="4">
        <f t="shared" si="4"/>
        <v>668657.56027949916</v>
      </c>
      <c r="U20" s="4">
        <f t="shared" si="5"/>
        <v>408624.06461524946</v>
      </c>
      <c r="V20" s="4">
        <v>356317068.76306617</v>
      </c>
      <c r="W20" s="4">
        <v>250652518.7207205</v>
      </c>
      <c r="X20" s="5">
        <v>0.70345358304289496</v>
      </c>
      <c r="Y20" s="2">
        <v>5354706.5315315314</v>
      </c>
      <c r="Z20" s="2">
        <v>3727943.25</v>
      </c>
      <c r="AA20" s="3">
        <v>67.236141194134461</v>
      </c>
      <c r="AB20" s="6">
        <v>1.4363701838893421</v>
      </c>
      <c r="AC20" s="3">
        <v>46.809758339647026</v>
      </c>
      <c r="AD20" s="4">
        <v>4834895.7273560697</v>
      </c>
      <c r="AE20" s="5">
        <v>1.9289236557575383E-2</v>
      </c>
      <c r="AK20" s="7">
        <v>8.2566251933214652E-2</v>
      </c>
      <c r="AL20" s="7">
        <v>0.10003921787660519</v>
      </c>
      <c r="AM20" s="8">
        <v>1.1353966075808297</v>
      </c>
      <c r="AN20" s="7">
        <v>6.5260009328326207E-2</v>
      </c>
      <c r="AO20" s="7">
        <v>5.2311083329930064E-2</v>
      </c>
      <c r="AP20" s="7">
        <v>4.5355537257713019E-2</v>
      </c>
      <c r="AQ20" s="7">
        <v>1.2305226281016379E-2</v>
      </c>
      <c r="AR20" s="7">
        <v>3.2648563020973631E-2</v>
      </c>
      <c r="AS20" s="7">
        <v>-0.23167645524252312</v>
      </c>
      <c r="AT20" s="8">
        <v>-0.58166490654771896</v>
      </c>
    </row>
    <row r="21" spans="1:51" x14ac:dyDescent="0.3">
      <c r="A21" t="str">
        <f t="shared" si="0"/>
        <v>202308 &amp; Tous porteurs &gt; Tous profils</v>
      </c>
      <c r="B21">
        <v>202308</v>
      </c>
      <c r="C21" t="s">
        <v>30</v>
      </c>
      <c r="D21" t="s">
        <v>31</v>
      </c>
      <c r="E21" s="4">
        <v>390533277.60278744</v>
      </c>
      <c r="F21" s="4">
        <v>276044848.79891914</v>
      </c>
      <c r="G21" s="5">
        <v>0.70684078574140152</v>
      </c>
      <c r="H21" s="2">
        <v>5723399.3243243238</v>
      </c>
      <c r="I21" s="2">
        <v>3914836.5</v>
      </c>
      <c r="J21" s="3">
        <v>70.512484697360705</v>
      </c>
      <c r="K21" s="6">
        <v>1.4619765919532843</v>
      </c>
      <c r="L21" s="3">
        <v>48.230925915956007</v>
      </c>
      <c r="M21" s="53">
        <v>1</v>
      </c>
      <c r="N21" s="53">
        <v>1</v>
      </c>
      <c r="O21" s="4">
        <v>7040744.6611036016</v>
      </c>
      <c r="P21" s="5">
        <v>2.5505799842808621E-2</v>
      </c>
      <c r="Q21" s="4">
        <f t="shared" si="1"/>
        <v>2182630.8449421166</v>
      </c>
      <c r="R21" s="4">
        <f t="shared" si="2"/>
        <v>1689778.7186648643</v>
      </c>
      <c r="S21" s="4">
        <f t="shared" si="3"/>
        <v>1126519.1457765764</v>
      </c>
      <c r="T21" s="4">
        <f t="shared" si="4"/>
        <v>1267334.0389986483</v>
      </c>
      <c r="U21" s="4">
        <f t="shared" si="5"/>
        <v>774481.91272139619</v>
      </c>
      <c r="V21" s="4">
        <v>362466016.18118465</v>
      </c>
      <c r="W21" s="4">
        <v>250001462.0235132</v>
      </c>
      <c r="X21" s="5">
        <v>0.68972386613631065</v>
      </c>
      <c r="Y21" s="2">
        <v>5354841.666666666</v>
      </c>
      <c r="Z21" s="2">
        <v>3738363.75</v>
      </c>
      <c r="AA21" s="3">
        <v>66.874568325116357</v>
      </c>
      <c r="AB21" s="6">
        <v>1.4324025228060449</v>
      </c>
      <c r="AC21" s="3">
        <v>46.686994235468504</v>
      </c>
      <c r="AD21" s="4">
        <v>6334278.4056081558</v>
      </c>
      <c r="AE21" s="5">
        <v>2.5336965449475661E-2</v>
      </c>
      <c r="AK21" s="7">
        <v>7.7434187395854837E-2</v>
      </c>
      <c r="AL21" s="7">
        <v>0.10417293788848525</v>
      </c>
      <c r="AM21" s="8">
        <v>1.7116919605090875</v>
      </c>
      <c r="AN21" s="7">
        <v>6.8826994447266365E-2</v>
      </c>
      <c r="AO21" s="7">
        <v>4.720587984515956E-2</v>
      </c>
      <c r="AP21" s="7">
        <v>5.4399100635062148E-2</v>
      </c>
      <c r="AQ21" s="7">
        <v>2.0646479377392168E-2</v>
      </c>
      <c r="AR21" s="7">
        <v>3.3069845377078577E-2</v>
      </c>
      <c r="AS21" s="7">
        <v>0.1115306606779336</v>
      </c>
      <c r="AT21" s="8">
        <v>1.688343933329596E-2</v>
      </c>
    </row>
    <row r="22" spans="1:51" x14ac:dyDescent="0.3">
      <c r="A22" t="str">
        <f t="shared" si="0"/>
        <v>202309 &amp; Tous porteurs &gt; Tous profils</v>
      </c>
      <c r="B22">
        <v>202309</v>
      </c>
      <c r="C22" t="s">
        <v>30</v>
      </c>
      <c r="D22" t="s">
        <v>31</v>
      </c>
      <c r="E22" s="4">
        <v>351077764.08885014</v>
      </c>
      <c r="F22" s="4">
        <v>268352112.8416214</v>
      </c>
      <c r="G22" s="5">
        <v>0.76436658851942363</v>
      </c>
      <c r="H22" s="2">
        <v>5636816.8918918911</v>
      </c>
      <c r="I22" s="2">
        <v>3907341</v>
      </c>
      <c r="J22" s="3">
        <v>68.67895912888622</v>
      </c>
      <c r="K22" s="6">
        <v>1.4426222057127573</v>
      </c>
      <c r="L22" s="3">
        <v>47.6070303485686</v>
      </c>
      <c r="M22" s="53">
        <v>1</v>
      </c>
      <c r="N22" s="53">
        <v>1</v>
      </c>
      <c r="O22" s="4">
        <v>7835654.2052076664</v>
      </c>
      <c r="P22" s="5">
        <v>2.9199152271374838E-2</v>
      </c>
      <c r="Q22" s="4">
        <f t="shared" si="1"/>
        <v>2429052.8036143766</v>
      </c>
      <c r="R22" s="4">
        <f t="shared" si="2"/>
        <v>1880557.0092498399</v>
      </c>
      <c r="S22" s="4">
        <f t="shared" si="3"/>
        <v>1253704.6728332266</v>
      </c>
      <c r="T22" s="4">
        <f t="shared" si="4"/>
        <v>1410417.7569373799</v>
      </c>
      <c r="U22" s="4">
        <f t="shared" si="5"/>
        <v>861921.9625728433</v>
      </c>
      <c r="V22" s="4">
        <v>321717311.57317072</v>
      </c>
      <c r="W22" s="4">
        <v>243415582.41477448</v>
      </c>
      <c r="X22" s="5">
        <v>0.75661325535916191</v>
      </c>
      <c r="Y22" s="2">
        <v>5288111.7117117113</v>
      </c>
      <c r="Z22" s="2">
        <v>3738714</v>
      </c>
      <c r="AA22" s="3">
        <v>65.106767304151774</v>
      </c>
      <c r="AB22" s="6">
        <v>1.41441996143907</v>
      </c>
      <c r="AC22" s="3">
        <v>46.030718654387726</v>
      </c>
      <c r="AD22" s="4">
        <v>6906327.21683715</v>
      </c>
      <c r="AE22" s="5">
        <v>2.8372576432140362E-2</v>
      </c>
      <c r="AK22" s="7">
        <v>9.1261649465206762E-2</v>
      </c>
      <c r="AL22" s="7">
        <v>0.10244426498692949</v>
      </c>
      <c r="AM22" s="8">
        <v>0.77533331602617217</v>
      </c>
      <c r="AN22" s="7">
        <v>6.5941341482611548E-2</v>
      </c>
      <c r="AO22" s="7">
        <v>4.5102941813682351E-2</v>
      </c>
      <c r="AP22" s="7">
        <v>5.4866674735156939E-2</v>
      </c>
      <c r="AQ22" s="7">
        <v>1.993908813687395E-2</v>
      </c>
      <c r="AR22" s="7">
        <v>3.4244776972010449E-2</v>
      </c>
      <c r="AS22" s="7">
        <v>0.13456167934019714</v>
      </c>
      <c r="AT22" s="8">
        <v>8.2657583923447658E-2</v>
      </c>
    </row>
    <row r="23" spans="1:51" x14ac:dyDescent="0.3">
      <c r="A23" t="str">
        <f t="shared" si="0"/>
        <v>202310 &amp; Tous porteurs &gt; Tous profils</v>
      </c>
      <c r="B23">
        <v>202310</v>
      </c>
      <c r="C23" t="s">
        <v>30</v>
      </c>
      <c r="D23" t="s">
        <v>31</v>
      </c>
      <c r="E23" s="4">
        <v>341674990.34320557</v>
      </c>
      <c r="F23" s="4">
        <v>264901240.24126118</v>
      </c>
      <c r="G23" s="5">
        <v>0.77530181525774911</v>
      </c>
      <c r="H23" s="2">
        <v>5689638.738738738</v>
      </c>
      <c r="I23" s="2">
        <v>3928778.25</v>
      </c>
      <c r="J23" s="3">
        <v>67.42585694197966</v>
      </c>
      <c r="K23" s="6">
        <v>1.4481954380445723</v>
      </c>
      <c r="L23" s="3">
        <v>46.558534276990613</v>
      </c>
      <c r="M23" s="53">
        <v>1</v>
      </c>
      <c r="N23" s="53">
        <v>1</v>
      </c>
      <c r="O23" s="4">
        <v>8069794.1042087758</v>
      </c>
      <c r="P23" s="5">
        <v>3.0463406274954162E-2</v>
      </c>
      <c r="Q23" s="4">
        <f t="shared" si="1"/>
        <v>2501636.1723047206</v>
      </c>
      <c r="R23" s="4">
        <f t="shared" si="2"/>
        <v>1936750.5850101062</v>
      </c>
      <c r="S23" s="4">
        <f t="shared" si="3"/>
        <v>1291167.0566734041</v>
      </c>
      <c r="T23" s="4">
        <f t="shared" si="4"/>
        <v>1452562.9387575795</v>
      </c>
      <c r="U23" s="4">
        <f t="shared" si="5"/>
        <v>887677.35146296537</v>
      </c>
      <c r="V23" s="4">
        <v>325680305.71602786</v>
      </c>
      <c r="W23" s="4">
        <v>249586970.87999964</v>
      </c>
      <c r="X23" s="5">
        <v>0.76635573751156849</v>
      </c>
      <c r="Y23" s="2">
        <v>5436410.1351351347</v>
      </c>
      <c r="Z23" s="2">
        <v>3768668.25</v>
      </c>
      <c r="AA23" s="3">
        <v>66.226835137319298</v>
      </c>
      <c r="AB23" s="6">
        <v>1.4425281756055697</v>
      </c>
      <c r="AC23" s="3">
        <v>45.910254133869827</v>
      </c>
      <c r="AD23" s="4">
        <v>7049791.6368693905</v>
      </c>
      <c r="AE23" s="5">
        <v>2.8245831951936709E-2</v>
      </c>
      <c r="AK23" s="7">
        <v>4.9111611437518299E-2</v>
      </c>
      <c r="AL23" s="7">
        <v>6.135844874941232E-2</v>
      </c>
      <c r="AM23" s="8">
        <v>0.8946077746180614</v>
      </c>
      <c r="AN23" s="7">
        <v>4.6580113955531965E-2</v>
      </c>
      <c r="AO23" s="7">
        <v>4.2484503643959615E-2</v>
      </c>
      <c r="AP23" s="7">
        <v>1.8104772818665182E-2</v>
      </c>
      <c r="AQ23" s="7">
        <v>3.9287013833360085E-3</v>
      </c>
      <c r="AR23" s="7">
        <v>1.4120595830954485E-2</v>
      </c>
      <c r="AS23" s="7">
        <v>0.14468547722813829</v>
      </c>
      <c r="AT23" s="8">
        <v>0.2217574323017453</v>
      </c>
    </row>
    <row r="24" spans="1:51" x14ac:dyDescent="0.3">
      <c r="A24" t="str">
        <f t="shared" si="0"/>
        <v>202311 &amp; Tous porteurs &gt; Tous profils</v>
      </c>
      <c r="B24">
        <v>202311</v>
      </c>
      <c r="C24" t="s">
        <v>30</v>
      </c>
      <c r="D24" t="s">
        <v>31</v>
      </c>
      <c r="E24" s="4">
        <v>338083412.92334497</v>
      </c>
      <c r="F24" s="4">
        <v>271479263.86815351</v>
      </c>
      <c r="G24" s="5">
        <v>0.80299492223153557</v>
      </c>
      <c r="H24" s="2">
        <v>5552873.1981981974</v>
      </c>
      <c r="I24" s="2">
        <v>3926361</v>
      </c>
      <c r="J24" s="3">
        <v>69.142716084474529</v>
      </c>
      <c r="K24" s="6">
        <v>1.4142543689177325</v>
      </c>
      <c r="L24" s="3">
        <v>48.889872716028059</v>
      </c>
      <c r="M24" s="53">
        <v>1</v>
      </c>
      <c r="N24" s="53">
        <v>1</v>
      </c>
      <c r="O24" s="4">
        <v>16630839.238588983</v>
      </c>
      <c r="P24" s="5">
        <v>6.1260071954025587E-2</v>
      </c>
      <c r="Q24" s="4">
        <f t="shared" si="1"/>
        <v>5155560.1639625849</v>
      </c>
      <c r="R24" s="4">
        <f t="shared" si="2"/>
        <v>3991401.417261356</v>
      </c>
      <c r="S24" s="4">
        <f t="shared" si="3"/>
        <v>2660934.2781742373</v>
      </c>
      <c r="T24" s="4">
        <f t="shared" si="4"/>
        <v>2993551.0629460169</v>
      </c>
      <c r="U24" s="4">
        <f t="shared" si="5"/>
        <v>1829392.3162447882</v>
      </c>
      <c r="V24" s="4">
        <v>316199352.47212541</v>
      </c>
      <c r="W24" s="4">
        <v>249169521.93112606</v>
      </c>
      <c r="X24" s="5">
        <v>0.78801401705302865</v>
      </c>
      <c r="Y24" s="2">
        <v>5270052.9279279271</v>
      </c>
      <c r="Z24" s="2">
        <v>3766113.75</v>
      </c>
      <c r="AA24" s="3">
        <v>66.160912407684464</v>
      </c>
      <c r="AB24" s="6">
        <v>1.3993345070705649</v>
      </c>
      <c r="AC24" s="3">
        <v>47.280269351885657</v>
      </c>
      <c r="AD24" s="4">
        <v>10384547.769527018</v>
      </c>
      <c r="AE24" s="5">
        <v>4.1676637210860214E-2</v>
      </c>
      <c r="AK24" s="7">
        <v>6.9209694074717554E-2</v>
      </c>
      <c r="AL24" s="7">
        <v>8.953639981375483E-2</v>
      </c>
      <c r="AM24" s="8">
        <v>1.498090517850692</v>
      </c>
      <c r="AN24" s="7">
        <v>5.3665546463775193E-2</v>
      </c>
      <c r="AO24" s="7">
        <v>4.2549763665529206E-2</v>
      </c>
      <c r="AP24" s="7">
        <v>4.5068962447436522E-2</v>
      </c>
      <c r="AQ24" s="7">
        <v>1.0662112434003612E-2</v>
      </c>
      <c r="AR24" s="7">
        <v>3.4043870439122381E-2</v>
      </c>
      <c r="AS24" s="7">
        <v>0.60149865046520579</v>
      </c>
      <c r="AT24" s="8">
        <v>1.9583434743165373</v>
      </c>
    </row>
    <row r="25" spans="1:51" x14ac:dyDescent="0.3">
      <c r="A25" t="str">
        <f t="shared" si="0"/>
        <v>202312 &amp; Tous porteurs &gt; Tous profils</v>
      </c>
      <c r="B25" s="1">
        <v>202312</v>
      </c>
      <c r="C25" t="s">
        <v>30</v>
      </c>
      <c r="D25" t="s">
        <v>31</v>
      </c>
      <c r="E25" s="4">
        <v>424647020.58362371</v>
      </c>
      <c r="F25" s="4">
        <v>340380035.15648651</v>
      </c>
      <c r="G25" s="5">
        <v>0.8015599277929164</v>
      </c>
      <c r="H25" s="2">
        <v>6493355.8558558552</v>
      </c>
      <c r="I25" s="2">
        <v>4103214</v>
      </c>
      <c r="J25" s="3">
        <v>82.954492540843958</v>
      </c>
      <c r="K25" s="6">
        <v>1.5825048013230252</v>
      </c>
      <c r="L25" s="3">
        <v>52.419741457650765</v>
      </c>
      <c r="M25" s="53">
        <v>1</v>
      </c>
      <c r="N25" s="53">
        <v>1</v>
      </c>
      <c r="O25" s="4">
        <v>12643286.498828819</v>
      </c>
      <c r="P25" s="5">
        <v>3.7144618347007892E-2</v>
      </c>
      <c r="Q25" s="4">
        <f t="shared" si="1"/>
        <v>3919418.8146369341</v>
      </c>
      <c r="R25" s="4">
        <f t="shared" si="2"/>
        <v>3034388.7597189164</v>
      </c>
      <c r="S25" s="4">
        <f t="shared" si="3"/>
        <v>2022925.839812611</v>
      </c>
      <c r="T25" s="4">
        <f t="shared" si="4"/>
        <v>2275791.5697891875</v>
      </c>
      <c r="U25" s="4">
        <f t="shared" si="5"/>
        <v>1390761.51487117</v>
      </c>
      <c r="V25" s="4">
        <v>405933347.59756094</v>
      </c>
      <c r="W25" s="4">
        <v>319995654.84112656</v>
      </c>
      <c r="X25" s="5">
        <v>0.78829605090333121</v>
      </c>
      <c r="Y25" s="2">
        <v>6222578.3783783782</v>
      </c>
      <c r="Z25" s="2">
        <v>3933486</v>
      </c>
      <c r="AA25" s="3">
        <v>81.351669954113618</v>
      </c>
      <c r="AB25" s="6">
        <v>1.5819500510179465</v>
      </c>
      <c r="AC25" s="3">
        <v>51.424929568266577</v>
      </c>
      <c r="AD25" s="4">
        <v>10274777.118536033</v>
      </c>
      <c r="AE25" s="5">
        <v>3.2109114492936845E-2</v>
      </c>
      <c r="AK25" s="7">
        <v>4.6100358831852706E-2</v>
      </c>
      <c r="AL25" s="7">
        <v>6.3702053471571318E-2</v>
      </c>
      <c r="AM25" s="8">
        <v>1.3263876889585191</v>
      </c>
      <c r="AN25" s="7">
        <v>4.3515318090383337E-2</v>
      </c>
      <c r="AO25" s="7">
        <v>4.3149511654547723E-2</v>
      </c>
      <c r="AP25" s="7">
        <v>1.9702393173175237E-2</v>
      </c>
      <c r="AQ25" s="7">
        <v>3.5067498162888455E-4</v>
      </c>
      <c r="AR25" s="7">
        <v>1.9344934407028669E-2</v>
      </c>
      <c r="AS25" s="7">
        <v>0.23051686211469424</v>
      </c>
      <c r="AT25" s="8">
        <v>0.50355038540710462</v>
      </c>
    </row>
    <row r="26" spans="1:51" x14ac:dyDescent="0.3">
      <c r="A26" t="str">
        <f t="shared" si="0"/>
        <v>202401 &amp; Tous porteurs &gt; Tous profils</v>
      </c>
      <c r="B26">
        <v>202401</v>
      </c>
      <c r="C26" t="s">
        <v>30</v>
      </c>
      <c r="D26" t="s">
        <v>31</v>
      </c>
      <c r="E26" s="4">
        <v>334303247.27003479</v>
      </c>
      <c r="F26" s="4">
        <v>268265534.66013506</v>
      </c>
      <c r="G26" s="5">
        <v>0.80246164777287521</v>
      </c>
      <c r="H26" s="2">
        <v>5667926.5765765756</v>
      </c>
      <c r="I26" s="2">
        <v>3940346.25</v>
      </c>
      <c r="J26" s="3">
        <v>68.081716082726246</v>
      </c>
      <c r="K26" s="6">
        <v>1.438433634246375</v>
      </c>
      <c r="L26" s="3">
        <v>47.330453391682305</v>
      </c>
      <c r="M26" s="53">
        <v>1</v>
      </c>
      <c r="N26" s="53">
        <v>1</v>
      </c>
      <c r="O26" s="4">
        <v>11291741.290698193</v>
      </c>
      <c r="P26" s="5">
        <v>4.2091658568826858E-2</v>
      </c>
      <c r="Q26" s="4">
        <f t="shared" ref="Q26:Q37" si="6">28%*$O26</f>
        <v>3161687.5613954943</v>
      </c>
      <c r="R26" s="4">
        <f t="shared" ref="R26:R37" si="7">27%*$O26</f>
        <v>3048770.1484885123</v>
      </c>
      <c r="S26" s="4">
        <f t="shared" ref="S26:S37" si="8">18%*$O26</f>
        <v>2032513.4323256747</v>
      </c>
      <c r="T26" s="4">
        <f t="shared" ref="T26:T37" si="9">13%*$O26</f>
        <v>1467926.3677907651</v>
      </c>
      <c r="U26" s="4">
        <f t="shared" ref="U26:U37" si="10">14%*$O26</f>
        <v>1580843.7806977471</v>
      </c>
      <c r="V26" s="4">
        <v>312795411.47212541</v>
      </c>
      <c r="W26" s="4">
        <v>246549225.81761274</v>
      </c>
      <c r="X26" s="5">
        <v>0.78821241225139849</v>
      </c>
      <c r="Y26" s="2">
        <v>5355275.4504504502</v>
      </c>
      <c r="Z26" s="2">
        <v>3771040.5</v>
      </c>
      <c r="AA26" s="3">
        <v>65.379628200124799</v>
      </c>
      <c r="AB26" s="6">
        <v>1.4201055253716979</v>
      </c>
      <c r="AC26" s="3">
        <v>46.038570396388231</v>
      </c>
      <c r="AD26" s="4">
        <v>8587065.8514864761</v>
      </c>
      <c r="AE26" s="5">
        <v>3.482901162236398E-2</v>
      </c>
      <c r="AF26" s="3">
        <v>2661990.4139608075</v>
      </c>
      <c r="AG26" s="3">
        <v>2060895.8043567543</v>
      </c>
      <c r="AH26" s="3">
        <v>1373930.5362378361</v>
      </c>
      <c r="AI26" s="3">
        <v>1545671.8532675656</v>
      </c>
      <c r="AJ26" s="3">
        <v>944577.2436635124</v>
      </c>
      <c r="AK26" s="7">
        <v>6.8760074505843649E-2</v>
      </c>
      <c r="AL26" s="7">
        <v>8.8081026296092269E-2</v>
      </c>
      <c r="AM26" s="8">
        <v>1.4249235521476722</v>
      </c>
      <c r="AN26" s="7">
        <v>5.8381894455088679E-2</v>
      </c>
      <c r="AO26" s="7">
        <v>4.4896295863170899E-2</v>
      </c>
      <c r="AP26" s="7">
        <v>4.1329202337009985E-2</v>
      </c>
      <c r="AQ26" s="7">
        <v>1.290615982208787E-2</v>
      </c>
      <c r="AR26" s="7">
        <v>2.8060884257939955E-2</v>
      </c>
      <c r="AS26" s="7">
        <v>0.31497085104378475</v>
      </c>
      <c r="AT26" s="8">
        <v>0.72626469464628785</v>
      </c>
      <c r="AU26" s="7">
        <f t="shared" ref="AU26:AU37" si="11">Q26/AF26-1</f>
        <v>0.1877156073943862</v>
      </c>
      <c r="AV26" s="7">
        <f t="shared" ref="AV26:AV37" si="12">R26/AG26-1</f>
        <v>0.47934220742425793</v>
      </c>
      <c r="AW26" s="7">
        <f t="shared" ref="AW26:AW37" si="13">S26/AH26-1</f>
        <v>0.4793422074242577</v>
      </c>
      <c r="AX26" s="7">
        <f t="shared" ref="AX26:AX37" si="14">T26/AI26-1</f>
        <v>-5.0298829801710965E-2</v>
      </c>
      <c r="AY26" s="7">
        <f t="shared" ref="AY26:AY37" si="15">U26/AJ26-1</f>
        <v>0.67359926496481703</v>
      </c>
    </row>
    <row r="27" spans="1:51" x14ac:dyDescent="0.3">
      <c r="A27" t="str">
        <f t="shared" si="0"/>
        <v>202402 &amp; Tous porteurs &gt; Tous profils</v>
      </c>
      <c r="B27">
        <v>202402</v>
      </c>
      <c r="C27" t="s">
        <v>30</v>
      </c>
      <c r="D27" t="s">
        <v>31</v>
      </c>
      <c r="E27" s="4">
        <v>324642489.73693377</v>
      </c>
      <c r="F27" s="4">
        <v>258521546.63198191</v>
      </c>
      <c r="G27" s="5">
        <v>0.79632689744792384</v>
      </c>
      <c r="H27" s="2">
        <v>5529712.6126126125</v>
      </c>
      <c r="I27" s="2">
        <v>3959310.75</v>
      </c>
      <c r="J27" s="3">
        <v>65.294583566592223</v>
      </c>
      <c r="K27" s="6">
        <v>1.3966351624743303</v>
      </c>
      <c r="L27" s="3">
        <v>46.751353052656881</v>
      </c>
      <c r="M27" s="53">
        <v>1</v>
      </c>
      <c r="N27" s="53">
        <v>1</v>
      </c>
      <c r="O27" s="4">
        <v>7104767.6320945937</v>
      </c>
      <c r="P27" s="5">
        <v>2.7482303601597195E-2</v>
      </c>
      <c r="Q27" s="4">
        <f t="shared" si="6"/>
        <v>1989334.9369864864</v>
      </c>
      <c r="R27" s="4">
        <f t="shared" si="7"/>
        <v>1918287.2606655404</v>
      </c>
      <c r="S27" s="4">
        <f t="shared" si="8"/>
        <v>1278858.1737770268</v>
      </c>
      <c r="T27" s="4">
        <f t="shared" si="9"/>
        <v>923619.79217229725</v>
      </c>
      <c r="U27" s="4">
        <f t="shared" si="10"/>
        <v>994667.46849324321</v>
      </c>
      <c r="V27" s="4">
        <v>296642093.24912894</v>
      </c>
      <c r="W27" s="4">
        <v>231077650.72045037</v>
      </c>
      <c r="X27" s="5">
        <v>0.77897795349759891</v>
      </c>
      <c r="Y27" s="2">
        <v>5027840.3153153146</v>
      </c>
      <c r="Z27" s="2">
        <v>3757904.25</v>
      </c>
      <c r="AA27" s="3">
        <v>61.491095926792276</v>
      </c>
      <c r="AB27" s="6">
        <v>1.3379373131487622</v>
      </c>
      <c r="AC27" s="3">
        <v>45.959624058975038</v>
      </c>
      <c r="AD27" s="4">
        <v>5586710.7211369341</v>
      </c>
      <c r="AE27" s="5">
        <v>2.4176767868804155E-2</v>
      </c>
      <c r="AF27" s="3">
        <v>1731880.3235524495</v>
      </c>
      <c r="AG27" s="3">
        <v>1340810.5730728642</v>
      </c>
      <c r="AH27" s="3">
        <v>893873.71538190951</v>
      </c>
      <c r="AI27" s="3">
        <v>1005607.9298046482</v>
      </c>
      <c r="AJ27" s="3">
        <v>614538.17932506278</v>
      </c>
      <c r="AK27" s="7">
        <v>9.439117753355819E-2</v>
      </c>
      <c r="AL27" s="7">
        <v>0.11876482137483824</v>
      </c>
      <c r="AM27" s="8">
        <v>1.7348943950324935</v>
      </c>
      <c r="AN27" s="7">
        <v>9.9818662849840978E-2</v>
      </c>
      <c r="AO27" s="7">
        <v>5.359543154938029E-2</v>
      </c>
      <c r="AP27" s="7">
        <v>6.1854282843294195E-2</v>
      </c>
      <c r="AQ27" s="7">
        <v>4.3871897994552489E-2</v>
      </c>
      <c r="AR27" s="7">
        <v>1.7226620319302555E-2</v>
      </c>
      <c r="AS27" s="7">
        <v>0.27172642127579572</v>
      </c>
      <c r="AT27" s="8">
        <v>0.33055357327930401</v>
      </c>
      <c r="AU27" s="7">
        <f t="shared" si="11"/>
        <v>0.14865612244265436</v>
      </c>
      <c r="AV27" s="7">
        <f t="shared" si="12"/>
        <v>0.4306922239352704</v>
      </c>
      <c r="AW27" s="7">
        <f t="shared" si="13"/>
        <v>0.43069222393527018</v>
      </c>
      <c r="AX27" s="7">
        <f t="shared" si="14"/>
        <v>-8.1530917967480798E-2</v>
      </c>
      <c r="AY27" s="7">
        <f t="shared" si="15"/>
        <v>0.61856089980555828</v>
      </c>
    </row>
    <row r="28" spans="1:51" x14ac:dyDescent="0.3">
      <c r="A28" t="str">
        <f t="shared" si="0"/>
        <v>202403 &amp; Tous porteurs &gt; Tous profils</v>
      </c>
      <c r="B28">
        <v>202403</v>
      </c>
      <c r="C28" t="s">
        <v>30</v>
      </c>
      <c r="D28" t="s">
        <v>31</v>
      </c>
      <c r="E28" s="4">
        <v>361073734.14111495</v>
      </c>
      <c r="F28" s="4">
        <v>288051995.9350453</v>
      </c>
      <c r="G28" s="5">
        <v>0.79776502331368349</v>
      </c>
      <c r="H28" s="2">
        <v>6013486.2612612611</v>
      </c>
      <c r="I28" s="2">
        <v>4050660</v>
      </c>
      <c r="J28" s="3">
        <v>71.112360932550573</v>
      </c>
      <c r="K28" s="6">
        <v>1.4845694926903914</v>
      </c>
      <c r="L28" s="3">
        <v>47.90099842593299</v>
      </c>
      <c r="M28" s="53">
        <v>1</v>
      </c>
      <c r="N28" s="53">
        <v>1</v>
      </c>
      <c r="O28" s="4">
        <v>7590212.6996171279</v>
      </c>
      <c r="P28" s="5">
        <v>2.6350147913325669E-2</v>
      </c>
      <c r="Q28" s="4">
        <f t="shared" si="6"/>
        <v>2125259.5558927958</v>
      </c>
      <c r="R28" s="4">
        <f t="shared" si="7"/>
        <v>2049357.4288966246</v>
      </c>
      <c r="S28" s="4">
        <f t="shared" si="8"/>
        <v>1366238.2859310829</v>
      </c>
      <c r="T28" s="4">
        <f t="shared" si="9"/>
        <v>986727.6509502267</v>
      </c>
      <c r="U28" s="4">
        <f t="shared" si="10"/>
        <v>1062629.7779463979</v>
      </c>
      <c r="V28" s="4">
        <v>335988881.59930313</v>
      </c>
      <c r="W28" s="4">
        <v>265540379.53108105</v>
      </c>
      <c r="X28" s="5">
        <v>0.79032490083336082</v>
      </c>
      <c r="Y28" s="2">
        <v>5691992.3423423423</v>
      </c>
      <c r="Z28" s="2">
        <v>3868860.75</v>
      </c>
      <c r="AA28" s="3">
        <v>68.635289996178088</v>
      </c>
      <c r="AB28" s="6">
        <v>1.4712321559627966</v>
      </c>
      <c r="AC28" s="3">
        <v>46.651570058473958</v>
      </c>
      <c r="AD28" s="4">
        <v>7131727.4052477386</v>
      </c>
      <c r="AE28" s="5">
        <v>2.6857412111264162E-2</v>
      </c>
      <c r="AF28" s="3">
        <v>2210835.4956267988</v>
      </c>
      <c r="AG28" s="3">
        <v>1711614.5772594572</v>
      </c>
      <c r="AH28" s="3">
        <v>1141076.3848396381</v>
      </c>
      <c r="AI28" s="3">
        <v>1283710.9329445928</v>
      </c>
      <c r="AJ28" s="3">
        <v>784490.01457725128</v>
      </c>
      <c r="AK28" s="7">
        <v>7.4659769759071182E-2</v>
      </c>
      <c r="AL28" s="7">
        <v>8.4776622085566133E-2</v>
      </c>
      <c r="AM28" s="8">
        <v>0.7440122480322664</v>
      </c>
      <c r="AN28" s="7">
        <v>5.6481790484387506E-2</v>
      </c>
      <c r="AO28" s="7">
        <v>4.6990383409379666E-2</v>
      </c>
      <c r="AP28" s="7">
        <v>3.6090339772883784E-2</v>
      </c>
      <c r="AQ28" s="7">
        <v>9.0654195352783962E-3</v>
      </c>
      <c r="AR28" s="7">
        <v>2.6782129002153043E-2</v>
      </c>
      <c r="AS28" s="7">
        <v>6.4288112587144397E-2</v>
      </c>
      <c r="AT28" s="8">
        <v>-5.0726419793849231E-2</v>
      </c>
      <c r="AU28" s="7">
        <f t="shared" si="11"/>
        <v>-3.8707511211611534E-2</v>
      </c>
      <c r="AV28" s="7">
        <f t="shared" si="12"/>
        <v>0.19732412666053745</v>
      </c>
      <c r="AW28" s="7">
        <f t="shared" si="13"/>
        <v>0.19732412666053722</v>
      </c>
      <c r="AX28" s="7">
        <f t="shared" si="14"/>
        <v>-0.23134747424261781</v>
      </c>
      <c r="AY28" s="7">
        <f t="shared" si="15"/>
        <v>0.35454850692909279</v>
      </c>
    </row>
    <row r="29" spans="1:51" x14ac:dyDescent="0.3">
      <c r="A29" t="str">
        <f t="shared" si="0"/>
        <v>202404 &amp; Tous porteurs &gt; Tous profils</v>
      </c>
      <c r="B29">
        <v>202404</v>
      </c>
      <c r="C29" t="s">
        <v>30</v>
      </c>
      <c r="D29" t="s">
        <v>31</v>
      </c>
      <c r="E29" s="4">
        <v>345837171.29268295</v>
      </c>
      <c r="F29" s="4">
        <v>271962013.03540486</v>
      </c>
      <c r="G29" s="5">
        <v>0.78638745516815101</v>
      </c>
      <c r="H29" s="2">
        <v>5764394.5945945941</v>
      </c>
      <c r="I29" s="2">
        <v>4032450.75</v>
      </c>
      <c r="J29" s="3">
        <v>67.443356384552217</v>
      </c>
      <c r="K29" s="6">
        <v>1.4295015492984247</v>
      </c>
      <c r="L29" s="3">
        <v>47.179631541954109</v>
      </c>
      <c r="M29" s="53">
        <v>1</v>
      </c>
      <c r="N29" s="53">
        <v>1</v>
      </c>
      <c r="O29" s="4">
        <v>7562576.6688033724</v>
      </c>
      <c r="P29" s="5">
        <v>2.7807474229199991E-2</v>
      </c>
      <c r="Q29" s="4">
        <f t="shared" si="6"/>
        <v>2117521.4672649447</v>
      </c>
      <c r="R29" s="4">
        <f t="shared" si="7"/>
        <v>2041895.7005769107</v>
      </c>
      <c r="S29" s="4">
        <f t="shared" si="8"/>
        <v>1361263.8003846069</v>
      </c>
      <c r="T29" s="4">
        <f t="shared" si="9"/>
        <v>983134.96694443841</v>
      </c>
      <c r="U29" s="4">
        <f t="shared" si="10"/>
        <v>1058760.7336324723</v>
      </c>
      <c r="V29" s="4">
        <v>352633905.56968641</v>
      </c>
      <c r="W29" s="4">
        <v>275162577.75855827</v>
      </c>
      <c r="X29" s="5">
        <v>0.78030663930068833</v>
      </c>
      <c r="Y29" s="2">
        <v>5594111.036036036</v>
      </c>
      <c r="Z29" s="2">
        <v>3934875</v>
      </c>
      <c r="AA29" s="3">
        <v>69.929178883333847</v>
      </c>
      <c r="AB29" s="6">
        <v>1.4216743952567834</v>
      </c>
      <c r="AC29" s="3">
        <v>49.187900630863652</v>
      </c>
      <c r="AD29" s="4">
        <v>5833100.147837841</v>
      </c>
      <c r="AE29" s="5">
        <v>2.1198740742122649E-2</v>
      </c>
      <c r="AF29" s="3">
        <v>1808261.0458297306</v>
      </c>
      <c r="AG29" s="3">
        <v>1399944.0354810818</v>
      </c>
      <c r="AH29" s="3">
        <v>933296.02365405462</v>
      </c>
      <c r="AI29" s="3">
        <v>1049958.0266108112</v>
      </c>
      <c r="AJ29" s="3">
        <v>641641.01626216248</v>
      </c>
      <c r="AK29" s="7">
        <v>-1.9274193915140514E-2</v>
      </c>
      <c r="AL29" s="7">
        <v>-1.163154070304484E-2</v>
      </c>
      <c r="AM29" s="8">
        <v>0.60808158674626744</v>
      </c>
      <c r="AN29" s="7">
        <v>3.043978881749565E-2</v>
      </c>
      <c r="AO29" s="7">
        <v>2.47976746402363E-2</v>
      </c>
      <c r="AP29" s="7">
        <v>-3.554771468043183E-2</v>
      </c>
      <c r="AQ29" s="7">
        <v>5.5055883877177525E-3</v>
      </c>
      <c r="AR29" s="7">
        <v>-4.0828518053267482E-2</v>
      </c>
      <c r="AS29" s="7">
        <v>0.29649354153581564</v>
      </c>
      <c r="AT29" s="8">
        <v>0.66087334870773429</v>
      </c>
      <c r="AU29" s="7">
        <f t="shared" si="11"/>
        <v>0.17102642461299511</v>
      </c>
      <c r="AV29" s="7">
        <f t="shared" si="12"/>
        <v>0.45855523422779276</v>
      </c>
      <c r="AW29" s="7">
        <f t="shared" si="13"/>
        <v>0.45855523422779232</v>
      </c>
      <c r="AX29" s="7">
        <f t="shared" si="14"/>
        <v>-6.3643553335244074E-2</v>
      </c>
      <c r="AY29" s="7">
        <f t="shared" si="15"/>
        <v>0.65008268922740209</v>
      </c>
    </row>
    <row r="30" spans="1:51" x14ac:dyDescent="0.3">
      <c r="A30" t="str">
        <f t="shared" si="0"/>
        <v>202405 &amp; Tous porteurs &gt; Tous profils</v>
      </c>
      <c r="B30">
        <v>202405</v>
      </c>
      <c r="C30" t="s">
        <v>30</v>
      </c>
      <c r="D30" t="s">
        <v>31</v>
      </c>
      <c r="E30" s="4">
        <v>365340974.27700347</v>
      </c>
      <c r="F30" s="4">
        <v>284815855.03211731</v>
      </c>
      <c r="G30" s="5">
        <v>0.77958913750574388</v>
      </c>
      <c r="H30" s="2">
        <v>5843918.0180180175</v>
      </c>
      <c r="I30" s="2">
        <v>4049937.75</v>
      </c>
      <c r="J30" s="3">
        <v>70.325983413477729</v>
      </c>
      <c r="K30" s="6">
        <v>1.4429648994032112</v>
      </c>
      <c r="L30" s="3">
        <v>48.737140759670247</v>
      </c>
      <c r="M30" s="53">
        <v>1</v>
      </c>
      <c r="N30" s="53">
        <v>1</v>
      </c>
      <c r="O30" s="4">
        <v>6052163.6609450458</v>
      </c>
      <c r="P30" s="5">
        <v>2.1249391682434858E-2</v>
      </c>
      <c r="Q30" s="4">
        <f t="shared" si="6"/>
        <v>1694605.825064613</v>
      </c>
      <c r="R30" s="4">
        <f t="shared" si="7"/>
        <v>1634084.1884551626</v>
      </c>
      <c r="S30" s="4">
        <f t="shared" si="8"/>
        <v>1089389.4589701083</v>
      </c>
      <c r="T30" s="4">
        <f t="shared" si="9"/>
        <v>786781.27592285594</v>
      </c>
      <c r="U30" s="4">
        <f t="shared" si="10"/>
        <v>847302.91253230651</v>
      </c>
      <c r="V30" s="4">
        <v>348175675.56794423</v>
      </c>
      <c r="W30" s="4">
        <v>268454132.63301808</v>
      </c>
      <c r="X30" s="5">
        <v>0.77103069361498511</v>
      </c>
      <c r="Y30" s="2">
        <v>5506165.9909909908</v>
      </c>
      <c r="Z30" s="2">
        <v>3889272</v>
      </c>
      <c r="AA30" s="3">
        <v>69.024262801114986</v>
      </c>
      <c r="AB30" s="6">
        <v>1.4157317850206905</v>
      </c>
      <c r="AC30" s="3">
        <v>48.755183383910691</v>
      </c>
      <c r="AD30" s="4">
        <v>5166951.6314414525</v>
      </c>
      <c r="AE30" s="5">
        <v>1.9247055654400276E-2</v>
      </c>
      <c r="AF30" s="3">
        <v>1601755.0057468503</v>
      </c>
      <c r="AG30" s="3">
        <v>1240068.3915459486</v>
      </c>
      <c r="AH30" s="3">
        <v>826712.26103063242</v>
      </c>
      <c r="AI30" s="3">
        <v>930051.29365946143</v>
      </c>
      <c r="AJ30" s="3">
        <v>568364.67945855984</v>
      </c>
      <c r="AK30" s="7">
        <v>4.9300683285985469E-2</v>
      </c>
      <c r="AL30" s="7">
        <v>6.0947925213973297E-2</v>
      </c>
      <c r="AM30" s="8">
        <v>0.85584438907587712</v>
      </c>
      <c r="AN30" s="7">
        <v>6.1340691068821007E-2</v>
      </c>
      <c r="AO30" s="7">
        <v>4.1309980376790234E-2</v>
      </c>
      <c r="AP30" s="7">
        <v>1.8858884681079324E-2</v>
      </c>
      <c r="AQ30" s="7">
        <v>1.9236069056768779E-2</v>
      </c>
      <c r="AR30" s="7">
        <v>-3.7006576507714328E-4</v>
      </c>
      <c r="AS30" s="7">
        <v>0.17132191137942598</v>
      </c>
      <c r="AT30" s="8">
        <v>0.2002336028034582</v>
      </c>
      <c r="AU30" s="7">
        <f t="shared" si="11"/>
        <v>5.7968178020126881E-2</v>
      </c>
      <c r="AV30" s="7">
        <f t="shared" si="12"/>
        <v>0.31773715030185445</v>
      </c>
      <c r="AW30" s="7">
        <f t="shared" si="13"/>
        <v>0.31773715030185423</v>
      </c>
      <c r="AX30" s="7">
        <f t="shared" si="14"/>
        <v>-0.15404528622597002</v>
      </c>
      <c r="AY30" s="7">
        <f t="shared" si="15"/>
        <v>0.49077334175563303</v>
      </c>
    </row>
    <row r="31" spans="1:51" x14ac:dyDescent="0.3">
      <c r="A31" t="str">
        <f t="shared" si="0"/>
        <v>202406 &amp; Tous porteurs &gt; Tous profils</v>
      </c>
      <c r="B31">
        <v>202406</v>
      </c>
      <c r="C31" t="s">
        <v>30</v>
      </c>
      <c r="D31" t="s">
        <v>31</v>
      </c>
      <c r="E31" s="4">
        <v>359523025.14285713</v>
      </c>
      <c r="F31" s="4">
        <v>277861510.08333385</v>
      </c>
      <c r="G31" s="5">
        <v>0.77286151553972116</v>
      </c>
      <c r="H31" s="2">
        <v>5787663.738738738</v>
      </c>
      <c r="I31" s="2">
        <v>4037632.5</v>
      </c>
      <c r="J31" s="3">
        <v>68.8179298347073</v>
      </c>
      <c r="K31" s="6">
        <v>1.4334300456365798</v>
      </c>
      <c r="L31" s="3">
        <v>48.009269823938688</v>
      </c>
      <c r="M31" s="53">
        <v>1</v>
      </c>
      <c r="N31" s="53">
        <v>1</v>
      </c>
      <c r="O31" s="4">
        <v>8233372.5563288247</v>
      </c>
      <c r="P31" s="5">
        <v>2.9631209280693616E-2</v>
      </c>
      <c r="Q31" s="4">
        <f t="shared" si="6"/>
        <v>2305344.315772071</v>
      </c>
      <c r="R31" s="4">
        <f t="shared" si="7"/>
        <v>2223010.5902087828</v>
      </c>
      <c r="S31" s="4">
        <f t="shared" si="8"/>
        <v>1482007.0601391883</v>
      </c>
      <c r="T31" s="4">
        <f t="shared" si="9"/>
        <v>1070338.4323227473</v>
      </c>
      <c r="U31" s="4">
        <f t="shared" si="10"/>
        <v>1152672.1578860355</v>
      </c>
      <c r="V31" s="4">
        <v>364104002.17421603</v>
      </c>
      <c r="W31" s="4">
        <v>277874000.55675656</v>
      </c>
      <c r="X31" s="5">
        <v>0.76317205770179852</v>
      </c>
      <c r="Y31" s="2">
        <v>5719750.4504504502</v>
      </c>
      <c r="Z31" s="2">
        <v>3912485.25</v>
      </c>
      <c r="AA31" s="3">
        <v>71.02237652059047</v>
      </c>
      <c r="AB31" s="6">
        <v>1.461922559439796</v>
      </c>
      <c r="AC31" s="3">
        <v>48.581490217789664</v>
      </c>
      <c r="AD31" s="4">
        <v>6333596.2388738729</v>
      </c>
      <c r="AE31" s="5">
        <v>2.2793050901429038E-2</v>
      </c>
      <c r="AF31" s="3">
        <v>1963414.8340509005</v>
      </c>
      <c r="AG31" s="3">
        <v>1520063.0973297295</v>
      </c>
      <c r="AH31" s="3">
        <v>1013375.3982198196</v>
      </c>
      <c r="AI31" s="3">
        <v>1140047.3229972972</v>
      </c>
      <c r="AJ31" s="3">
        <v>696695.58627612598</v>
      </c>
      <c r="AK31" s="7">
        <v>-1.2581506943082132E-2</v>
      </c>
      <c r="AL31" s="7">
        <v>-4.4950133505361478E-5</v>
      </c>
      <c r="AM31" s="8">
        <v>0.96894578379226326</v>
      </c>
      <c r="AN31" s="7">
        <v>1.1873470508305006E-2</v>
      </c>
      <c r="AO31" s="7">
        <v>3.1986638160488967E-2</v>
      </c>
      <c r="AP31" s="7">
        <v>-3.1038762624960414E-2</v>
      </c>
      <c r="AQ31" s="7">
        <v>-1.9489755882920679E-2</v>
      </c>
      <c r="AR31" s="7">
        <v>-1.177856816013112E-2</v>
      </c>
      <c r="AS31" s="7">
        <v>0.29995223026606066</v>
      </c>
      <c r="AT31" s="8">
        <v>0.68381583792645784</v>
      </c>
      <c r="AU31" s="7">
        <f t="shared" si="11"/>
        <v>0.17415040153063543</v>
      </c>
      <c r="AV31" s="7">
        <f t="shared" si="12"/>
        <v>0.46244625904931835</v>
      </c>
      <c r="AW31" s="7">
        <f t="shared" si="13"/>
        <v>0.46244625904931813</v>
      </c>
      <c r="AX31" s="7">
        <f t="shared" si="14"/>
        <v>-6.1145611474511696E-2</v>
      </c>
      <c r="AY31" s="7">
        <f t="shared" si="15"/>
        <v>0.6544846567022593</v>
      </c>
    </row>
    <row r="32" spans="1:51" x14ac:dyDescent="0.3">
      <c r="A32" t="str">
        <f t="shared" si="0"/>
        <v>202407 &amp; Tous porteurs &gt; Tous profils</v>
      </c>
      <c r="B32">
        <v>202407</v>
      </c>
      <c r="C32" t="s">
        <v>30</v>
      </c>
      <c r="D32" t="s">
        <v>31</v>
      </c>
      <c r="E32" s="4">
        <v>395976817.02787453</v>
      </c>
      <c r="F32" s="4">
        <v>287203346.56756818</v>
      </c>
      <c r="G32" s="5">
        <v>0.72530343751753201</v>
      </c>
      <c r="H32" s="2">
        <v>6028193.6936936928</v>
      </c>
      <c r="I32" s="2">
        <v>4069992.75</v>
      </c>
      <c r="J32" s="3">
        <v>70.566058518794208</v>
      </c>
      <c r="K32" s="6">
        <v>1.4811313100480812</v>
      </c>
      <c r="L32" s="3">
        <v>47.643350754973547</v>
      </c>
      <c r="M32" s="53">
        <v>1</v>
      </c>
      <c r="N32" s="53">
        <v>1</v>
      </c>
      <c r="O32" s="4">
        <v>4242049.7374081099</v>
      </c>
      <c r="P32" s="5">
        <v>1.4770196058318264E-2</v>
      </c>
      <c r="Q32" s="4">
        <f t="shared" si="6"/>
        <v>1187773.9264742709</v>
      </c>
      <c r="R32" s="4">
        <f t="shared" si="7"/>
        <v>1145353.4291001898</v>
      </c>
      <c r="S32" s="4">
        <f t="shared" si="8"/>
        <v>763568.95273345977</v>
      </c>
      <c r="T32" s="4">
        <f t="shared" si="9"/>
        <v>551466.46586305427</v>
      </c>
      <c r="U32" s="4">
        <f t="shared" si="10"/>
        <v>593886.96323713544</v>
      </c>
      <c r="V32" s="4">
        <v>385736833.63066202</v>
      </c>
      <c r="W32" s="4">
        <v>275727600.6523425</v>
      </c>
      <c r="X32" s="5">
        <v>0.71480754911870326</v>
      </c>
      <c r="Y32" s="2">
        <v>5704154.7297297288</v>
      </c>
      <c r="Z32" s="2">
        <v>3922956</v>
      </c>
      <c r="AA32" s="3">
        <v>70.285672501129881</v>
      </c>
      <c r="AB32" s="6">
        <v>1.4540450440254056</v>
      </c>
      <c r="AC32" s="3">
        <v>48.338029684795536</v>
      </c>
      <c r="AD32" s="4">
        <v>3714764.2237749952</v>
      </c>
      <c r="AE32" s="5">
        <v>1.3472587492098193E-2</v>
      </c>
      <c r="AF32" s="3">
        <v>1151576.9093702484</v>
      </c>
      <c r="AG32" s="3">
        <v>891543.4137059988</v>
      </c>
      <c r="AH32" s="3">
        <v>594362.27580399928</v>
      </c>
      <c r="AI32" s="3">
        <v>668657.56027949916</v>
      </c>
      <c r="AJ32" s="3">
        <v>408624.06461524946</v>
      </c>
      <c r="AK32" s="7">
        <v>2.6546553257128513E-2</v>
      </c>
      <c r="AL32" s="7">
        <v>4.161986644817306E-2</v>
      </c>
      <c r="AM32" s="8">
        <v>1.0495888398828757</v>
      </c>
      <c r="AN32" s="7">
        <v>5.6807534037443208E-2</v>
      </c>
      <c r="AO32" s="7">
        <v>3.748111118248576E-2</v>
      </c>
      <c r="AP32" s="7">
        <v>3.9892343302230238E-3</v>
      </c>
      <c r="AQ32" s="7">
        <v>1.8628216597533553E-2</v>
      </c>
      <c r="AR32" s="7">
        <v>-1.4371271116176643E-2</v>
      </c>
      <c r="AS32" s="7">
        <v>0.14194319797160104</v>
      </c>
      <c r="AT32" s="8">
        <v>0.12976085662200712</v>
      </c>
      <c r="AU32" s="7">
        <f t="shared" si="11"/>
        <v>3.1432565909833343E-2</v>
      </c>
      <c r="AV32" s="7">
        <f t="shared" si="12"/>
        <v>0.28468609771805142</v>
      </c>
      <c r="AW32" s="7">
        <f t="shared" si="13"/>
        <v>0.28468609771805098</v>
      </c>
      <c r="AX32" s="7">
        <f t="shared" si="14"/>
        <v>-0.17526324590939935</v>
      </c>
      <c r="AY32" s="7">
        <f t="shared" si="15"/>
        <v>0.45338225196385595</v>
      </c>
    </row>
    <row r="33" spans="1:51" x14ac:dyDescent="0.3">
      <c r="A33" t="str">
        <f t="shared" si="0"/>
        <v>202408 &amp; Tous porteurs &gt; Tous profils</v>
      </c>
      <c r="B33">
        <v>202408</v>
      </c>
      <c r="C33" t="s">
        <v>30</v>
      </c>
      <c r="D33" t="s">
        <v>31</v>
      </c>
      <c r="E33" s="4">
        <v>417018917.88327527</v>
      </c>
      <c r="F33" s="4">
        <v>299980367.58252227</v>
      </c>
      <c r="G33" s="5">
        <v>0.71934474604935694</v>
      </c>
      <c r="H33" s="2">
        <v>6112469.1441441439</v>
      </c>
      <c r="I33" s="2">
        <v>4097550.75</v>
      </c>
      <c r="J33" s="3">
        <v>73.209677166908122</v>
      </c>
      <c r="K33" s="6">
        <v>1.4917372638140343</v>
      </c>
      <c r="L33" s="3">
        <v>49.07679049307086</v>
      </c>
      <c r="M33" s="53">
        <v>1</v>
      </c>
      <c r="N33" s="53">
        <v>1</v>
      </c>
      <c r="O33" s="4">
        <v>7673616.0237792768</v>
      </c>
      <c r="P33" s="5">
        <v>2.5580394095851371E-2</v>
      </c>
      <c r="Q33" s="4">
        <f t="shared" si="6"/>
        <v>2148612.4866581978</v>
      </c>
      <c r="R33" s="4">
        <f t="shared" si="7"/>
        <v>2071876.3264204049</v>
      </c>
      <c r="S33" s="4">
        <f t="shared" si="8"/>
        <v>1381250.8842802697</v>
      </c>
      <c r="T33" s="4">
        <f t="shared" si="9"/>
        <v>997570.08309130603</v>
      </c>
      <c r="U33" s="4">
        <f t="shared" si="10"/>
        <v>1074306.2433290989</v>
      </c>
      <c r="V33" s="4">
        <v>390533277.60278744</v>
      </c>
      <c r="W33" s="4">
        <v>276044848.79891914</v>
      </c>
      <c r="X33" s="5">
        <v>0.70684078574140152</v>
      </c>
      <c r="Y33" s="2">
        <v>5723399.3243243238</v>
      </c>
      <c r="Z33" s="2">
        <v>3914836.5</v>
      </c>
      <c r="AA33" s="3">
        <v>70.512484697360705</v>
      </c>
      <c r="AB33" s="6">
        <v>1.4619765919532843</v>
      </c>
      <c r="AC33" s="3">
        <v>48.230925915956007</v>
      </c>
      <c r="AD33" s="4">
        <v>7040744.6611036016</v>
      </c>
      <c r="AE33" s="5">
        <v>2.5505799842808621E-2</v>
      </c>
      <c r="AF33" s="3">
        <v>2182630.8449421166</v>
      </c>
      <c r="AG33" s="3">
        <v>1689778.7186648643</v>
      </c>
      <c r="AH33" s="3">
        <v>1126519.1457765764</v>
      </c>
      <c r="AI33" s="3">
        <v>1267334.0389986483</v>
      </c>
      <c r="AJ33" s="3">
        <v>774481.91272139619</v>
      </c>
      <c r="AK33" s="7">
        <v>6.7819163690901796E-2</v>
      </c>
      <c r="AL33" s="7">
        <v>8.6708804340118739E-2</v>
      </c>
      <c r="AM33" s="8">
        <v>1.250396030795542</v>
      </c>
      <c r="AN33" s="7">
        <v>6.7978800319991928E-2</v>
      </c>
      <c r="AO33" s="7">
        <v>4.6672255661251771E-2</v>
      </c>
      <c r="AP33" s="7">
        <v>3.8251275375187133E-2</v>
      </c>
      <c r="AQ33" s="7">
        <v>2.035646263049129E-2</v>
      </c>
      <c r="AR33" s="7">
        <v>1.7537805071144552E-2</v>
      </c>
      <c r="AS33" s="7">
        <v>8.9886992518270814E-2</v>
      </c>
      <c r="AT33" s="8">
        <v>7.4594253042750691E-3</v>
      </c>
      <c r="AU33" s="7">
        <f t="shared" si="11"/>
        <v>-1.5585942241561734E-2</v>
      </c>
      <c r="AV33" s="7">
        <f t="shared" si="12"/>
        <v>0.22612286658305503</v>
      </c>
      <c r="AW33" s="7">
        <f t="shared" si="13"/>
        <v>0.22612286658305458</v>
      </c>
      <c r="AX33" s="7">
        <f t="shared" si="14"/>
        <v>-0.21285939429235989</v>
      </c>
      <c r="AY33" s="7">
        <f t="shared" si="15"/>
        <v>0.38712889956870855</v>
      </c>
    </row>
    <row r="34" spans="1:51" x14ac:dyDescent="0.3">
      <c r="A34" t="str">
        <f t="shared" si="0"/>
        <v>202409 &amp; Tous porteurs &gt; Tous profils</v>
      </c>
      <c r="B34">
        <v>202409</v>
      </c>
      <c r="C34" t="s">
        <v>30</v>
      </c>
      <c r="D34" t="s">
        <v>31</v>
      </c>
      <c r="E34" s="4">
        <v>340179141.59581882</v>
      </c>
      <c r="F34" s="4">
        <v>262854412.71545041</v>
      </c>
      <c r="G34" s="5">
        <v>0.7726940913613064</v>
      </c>
      <c r="H34" s="2">
        <v>5629976.8018018017</v>
      </c>
      <c r="I34" s="2">
        <v>4030207.5</v>
      </c>
      <c r="J34" s="3">
        <v>65.221061872236206</v>
      </c>
      <c r="K34" s="6">
        <v>1.3969446490786892</v>
      </c>
      <c r="L34" s="3">
        <v>46.688365151225355</v>
      </c>
      <c r="M34" s="53">
        <v>1</v>
      </c>
      <c r="N34" s="53">
        <v>1</v>
      </c>
      <c r="O34" s="4">
        <v>8958426.3127085548</v>
      </c>
      <c r="P34" s="5">
        <v>3.4081323650466469E-2</v>
      </c>
      <c r="Q34" s="4">
        <f t="shared" si="6"/>
        <v>2508359.3675583955</v>
      </c>
      <c r="R34" s="4">
        <f t="shared" si="7"/>
        <v>2418775.1044313097</v>
      </c>
      <c r="S34" s="4">
        <f t="shared" si="8"/>
        <v>1612516.7362875398</v>
      </c>
      <c r="T34" s="4">
        <f t="shared" si="9"/>
        <v>1164595.4206521122</v>
      </c>
      <c r="U34" s="4">
        <f t="shared" si="10"/>
        <v>1254179.6837791977</v>
      </c>
      <c r="V34" s="4">
        <v>351077764.08885014</v>
      </c>
      <c r="W34" s="4">
        <v>268352112.8416214</v>
      </c>
      <c r="X34" s="5">
        <v>0.76436658851942363</v>
      </c>
      <c r="Y34" s="2">
        <v>5636816.8918918911</v>
      </c>
      <c r="Z34" s="2">
        <v>3907341</v>
      </c>
      <c r="AA34" s="3">
        <v>68.67895912888622</v>
      </c>
      <c r="AB34" s="6">
        <v>1.4426222057127573</v>
      </c>
      <c r="AC34" s="3">
        <v>47.6070303485686</v>
      </c>
      <c r="AD34" s="4">
        <v>7835654.2052076664</v>
      </c>
      <c r="AE34" s="5">
        <v>2.9199152271374838E-2</v>
      </c>
      <c r="AF34" s="3">
        <v>2429052.8036143766</v>
      </c>
      <c r="AG34" s="3">
        <v>1880557.0092498399</v>
      </c>
      <c r="AH34" s="3">
        <v>1253704.6728332266</v>
      </c>
      <c r="AI34" s="3">
        <v>1410417.7569373799</v>
      </c>
      <c r="AJ34" s="3">
        <v>861921.9625728433</v>
      </c>
      <c r="AK34" s="7">
        <v>-3.1043328879903465E-2</v>
      </c>
      <c r="AL34" s="7">
        <v>-2.0486889661329721E-2</v>
      </c>
      <c r="AM34" s="8">
        <v>0.83275028418827723</v>
      </c>
      <c r="AN34" s="7">
        <v>-1.2134667883089145E-3</v>
      </c>
      <c r="AO34" s="7">
        <v>3.1445041525681949E-2</v>
      </c>
      <c r="AP34" s="7">
        <v>-5.0348713791086408E-2</v>
      </c>
      <c r="AQ34" s="7">
        <v>-3.1662868111405618E-2</v>
      </c>
      <c r="AR34" s="7">
        <v>-1.9296838946201267E-2</v>
      </c>
      <c r="AS34" s="7">
        <v>0.14329015524379329</v>
      </c>
      <c r="AT34" s="8">
        <v>0.4882171379091631</v>
      </c>
      <c r="AU34" s="7">
        <f t="shared" si="11"/>
        <v>3.2649172478264932E-2</v>
      </c>
      <c r="AV34" s="7">
        <f t="shared" si="12"/>
        <v>0.28620142464926746</v>
      </c>
      <c r="AW34" s="7">
        <f t="shared" si="13"/>
        <v>0.28620142464926746</v>
      </c>
      <c r="AX34" s="7">
        <f t="shared" si="14"/>
        <v>-0.17429044343503808</v>
      </c>
      <c r="AY34" s="7">
        <f t="shared" si="15"/>
        <v>0.45509656121937336</v>
      </c>
    </row>
    <row r="35" spans="1:51" x14ac:dyDescent="0.3">
      <c r="A35" t="str">
        <f t="shared" si="0"/>
        <v>202410 &amp; Tous porteurs &gt; Tous profils</v>
      </c>
      <c r="B35">
        <v>202410</v>
      </c>
      <c r="C35" t="s">
        <v>30</v>
      </c>
      <c r="D35" t="s">
        <v>31</v>
      </c>
      <c r="E35" s="4">
        <v>364109352.07665503</v>
      </c>
      <c r="F35" s="4">
        <v>288195904.88729692</v>
      </c>
      <c r="G35" s="5">
        <v>0.79150920799920499</v>
      </c>
      <c r="H35" s="2">
        <v>6147692.3423423423</v>
      </c>
      <c r="I35" s="2">
        <v>4126451.25</v>
      </c>
      <c r="J35" s="3">
        <v>69.841102542359351</v>
      </c>
      <c r="K35" s="6">
        <v>1.4898255110471357</v>
      </c>
      <c r="L35" s="3">
        <v>46.878712993222258</v>
      </c>
      <c r="M35" s="53">
        <v>1</v>
      </c>
      <c r="N35" s="53">
        <v>1</v>
      </c>
      <c r="O35" s="4">
        <v>8815029.2923198231</v>
      </c>
      <c r="P35" s="5">
        <v>3.0586934591478893E-2</v>
      </c>
      <c r="Q35" s="4">
        <f t="shared" si="6"/>
        <v>2468208.2018495505</v>
      </c>
      <c r="R35" s="4">
        <f t="shared" si="7"/>
        <v>2380057.9089263524</v>
      </c>
      <c r="S35" s="4">
        <f t="shared" si="8"/>
        <v>1586705.272617568</v>
      </c>
      <c r="T35" s="4">
        <f t="shared" si="9"/>
        <v>1145953.8080015769</v>
      </c>
      <c r="U35" s="4">
        <f t="shared" si="10"/>
        <v>1234104.1009247752</v>
      </c>
      <c r="V35" s="4">
        <v>341674990.34320557</v>
      </c>
      <c r="W35" s="4">
        <v>264901240.24126118</v>
      </c>
      <c r="X35" s="5">
        <v>0.77530181525774911</v>
      </c>
      <c r="Y35" s="2">
        <v>5689638.738738738</v>
      </c>
      <c r="Z35" s="2">
        <v>3928778.25</v>
      </c>
      <c r="AA35" s="3">
        <v>67.42585694197966</v>
      </c>
      <c r="AB35" s="6">
        <v>1.4481954380445723</v>
      </c>
      <c r="AC35" s="3">
        <v>46.558534276990613</v>
      </c>
      <c r="AD35" s="4">
        <v>8069794.1042087758</v>
      </c>
      <c r="AE35" s="5">
        <v>3.0463406274954162E-2</v>
      </c>
      <c r="AF35" s="3">
        <v>2501636.1723047206</v>
      </c>
      <c r="AG35" s="3">
        <v>1936750.5850101062</v>
      </c>
      <c r="AH35" s="3">
        <v>1291167.0566734041</v>
      </c>
      <c r="AI35" s="3">
        <v>1452562.9387575795</v>
      </c>
      <c r="AJ35" s="3">
        <v>887677.35146296537</v>
      </c>
      <c r="AK35" s="7">
        <v>6.5659946930603841E-2</v>
      </c>
      <c r="AL35" s="7">
        <v>8.7937167167733588E-2</v>
      </c>
      <c r="AM35" s="8">
        <v>1.6207392741455884</v>
      </c>
      <c r="AN35" s="7">
        <v>8.0506623467124339E-2</v>
      </c>
      <c r="AO35" s="7">
        <v>5.031411482691861E-2</v>
      </c>
      <c r="AP35" s="7">
        <v>3.5820762388797389E-2</v>
      </c>
      <c r="AQ35" s="7">
        <v>2.8746170516028124E-2</v>
      </c>
      <c r="AR35" s="7">
        <v>6.8769071278491634E-3</v>
      </c>
      <c r="AS35" s="7">
        <v>9.2348723955964607E-2</v>
      </c>
      <c r="AT35" s="8">
        <v>1.2352831652473126E-2</v>
      </c>
      <c r="AU35" s="7">
        <f t="shared" si="11"/>
        <v>-1.3362442878483538E-2</v>
      </c>
      <c r="AV35" s="7">
        <f t="shared" si="12"/>
        <v>0.22889231445046021</v>
      </c>
      <c r="AW35" s="7">
        <f t="shared" si="13"/>
        <v>0.22889231445046021</v>
      </c>
      <c r="AX35" s="7">
        <f t="shared" si="14"/>
        <v>-0.21108147714291436</v>
      </c>
      <c r="AY35" s="7">
        <f t="shared" si="15"/>
        <v>0.39026201230759128</v>
      </c>
    </row>
    <row r="36" spans="1:51" x14ac:dyDescent="0.3">
      <c r="A36" t="str">
        <f t="shared" si="0"/>
        <v>202411 &amp; Tous porteurs &gt; Tous profils</v>
      </c>
      <c r="B36">
        <v>202411</v>
      </c>
      <c r="C36" t="s">
        <v>30</v>
      </c>
      <c r="D36" t="s">
        <v>31</v>
      </c>
      <c r="E36" s="4">
        <v>362404899.56271774</v>
      </c>
      <c r="F36" s="4">
        <v>294925823.00418878</v>
      </c>
      <c r="G36" s="5">
        <v>0.81380197497343432</v>
      </c>
      <c r="H36" s="2">
        <v>5982889.6396396393</v>
      </c>
      <c r="I36" s="2">
        <v>4119405</v>
      </c>
      <c r="J36" s="3">
        <v>71.594277087149422</v>
      </c>
      <c r="K36" s="6">
        <v>1.452367426761787</v>
      </c>
      <c r="L36" s="3">
        <v>49.294879358990265</v>
      </c>
      <c r="M36" s="53">
        <v>1</v>
      </c>
      <c r="N36" s="53">
        <v>1</v>
      </c>
      <c r="O36" s="4">
        <v>14615750.470180178</v>
      </c>
      <c r="P36" s="5">
        <v>4.9557377924050391E-2</v>
      </c>
      <c r="Q36" s="4">
        <f t="shared" si="6"/>
        <v>4092410.1316504502</v>
      </c>
      <c r="R36" s="4">
        <f t="shared" si="7"/>
        <v>3946252.6269486481</v>
      </c>
      <c r="S36" s="4">
        <f t="shared" si="8"/>
        <v>2630835.0846324321</v>
      </c>
      <c r="T36" s="4">
        <f t="shared" si="9"/>
        <v>1900047.5611234233</v>
      </c>
      <c r="U36" s="4">
        <f t="shared" si="10"/>
        <v>2046205.0658252251</v>
      </c>
      <c r="V36" s="4">
        <v>338083412.92334497</v>
      </c>
      <c r="W36" s="4">
        <v>271479263.86815351</v>
      </c>
      <c r="X36" s="5">
        <v>0.80299492223153557</v>
      </c>
      <c r="Y36" s="2">
        <v>5552873.1981981974</v>
      </c>
      <c r="Z36" s="2">
        <v>3926361</v>
      </c>
      <c r="AA36" s="3">
        <v>69.142716084474529</v>
      </c>
      <c r="AB36" s="6">
        <v>1.4142543689177325</v>
      </c>
      <c r="AC36" s="3">
        <v>48.889872716028059</v>
      </c>
      <c r="AD36" s="4">
        <v>16630839.238588983</v>
      </c>
      <c r="AE36" s="5">
        <v>6.1260071954025587E-2</v>
      </c>
      <c r="AF36" s="3">
        <v>5155560.1639625849</v>
      </c>
      <c r="AG36" s="3">
        <v>3991401.417261356</v>
      </c>
      <c r="AH36" s="3">
        <v>2660934.2781742373</v>
      </c>
      <c r="AI36" s="3">
        <v>2993551.0629460169</v>
      </c>
      <c r="AJ36" s="3">
        <v>1829392.3162447882</v>
      </c>
      <c r="AK36" s="7">
        <v>7.1939307607756797E-2</v>
      </c>
      <c r="AL36" s="7">
        <v>8.6365930133884161E-2</v>
      </c>
      <c r="AM36" s="8">
        <v>1.0807052741898748</v>
      </c>
      <c r="AN36" s="7">
        <v>7.7440349543903553E-2</v>
      </c>
      <c r="AO36" s="7">
        <v>4.9166136277331685E-2</v>
      </c>
      <c r="AP36" s="7">
        <v>3.5456533117381728E-2</v>
      </c>
      <c r="AQ36" s="7">
        <v>2.694922404462563E-2</v>
      </c>
      <c r="AR36" s="7">
        <v>8.284060081617417E-3</v>
      </c>
      <c r="AS36" s="7">
        <v>-0.1211657896213163</v>
      </c>
      <c r="AT36" s="8">
        <v>-1.1702694029975196</v>
      </c>
      <c r="AU36" s="7">
        <f t="shared" si="11"/>
        <v>-0.20621426159344691</v>
      </c>
      <c r="AV36" s="7">
        <f t="shared" si="12"/>
        <v>-1.1311513323980837E-2</v>
      </c>
      <c r="AW36" s="7">
        <f t="shared" si="13"/>
        <v>-1.1311513323980837E-2</v>
      </c>
      <c r="AX36" s="7">
        <f t="shared" si="14"/>
        <v>-0.36528640361539511</v>
      </c>
      <c r="AY36" s="7">
        <f t="shared" si="15"/>
        <v>0.11851626775468826</v>
      </c>
    </row>
    <row r="37" spans="1:51" x14ac:dyDescent="0.3">
      <c r="A37" t="str">
        <f t="shared" si="0"/>
        <v>202412 &amp; Tous porteurs &gt; Tous profils</v>
      </c>
      <c r="B37">
        <v>202412</v>
      </c>
      <c r="C37" t="s">
        <v>30</v>
      </c>
      <c r="D37" t="s">
        <v>31</v>
      </c>
      <c r="E37" s="4">
        <v>422663034.54878044</v>
      </c>
      <c r="F37" s="4">
        <v>338861385.7633332</v>
      </c>
      <c r="G37" s="5">
        <v>0.80172941105457496</v>
      </c>
      <c r="H37" s="2">
        <v>6645792.3423423413</v>
      </c>
      <c r="I37" s="2">
        <v>4257413.25</v>
      </c>
      <c r="J37" s="3">
        <v>79.593256718344918</v>
      </c>
      <c r="K37" s="6">
        <v>1.5609930143244473</v>
      </c>
      <c r="L37" s="3">
        <v>50.988861569499463</v>
      </c>
      <c r="M37" s="53">
        <v>1</v>
      </c>
      <c r="N37" s="53">
        <v>1</v>
      </c>
      <c r="O37" s="4">
        <v>10107922.717782205</v>
      </c>
      <c r="P37" s="5">
        <v>2.9829078031457255E-2</v>
      </c>
      <c r="Q37" s="4">
        <f t="shared" si="6"/>
        <v>2830218.3609790178</v>
      </c>
      <c r="R37" s="4">
        <f t="shared" si="7"/>
        <v>2729139.1338011953</v>
      </c>
      <c r="S37" s="4">
        <f t="shared" si="8"/>
        <v>1819426.0892007968</v>
      </c>
      <c r="T37" s="4">
        <f t="shared" si="9"/>
        <v>1314029.9533116866</v>
      </c>
      <c r="U37" s="4">
        <f t="shared" si="10"/>
        <v>1415109.1804895089</v>
      </c>
      <c r="V37" s="4">
        <v>424647020.58362371</v>
      </c>
      <c r="W37" s="4">
        <v>340380035.15648651</v>
      </c>
      <c r="X37" s="5">
        <v>0.8015599277929164</v>
      </c>
      <c r="Y37" s="2">
        <v>6493355.8558558552</v>
      </c>
      <c r="Z37" s="2">
        <v>4103214</v>
      </c>
      <c r="AA37" s="3">
        <v>82.954492540843958</v>
      </c>
      <c r="AB37" s="6">
        <v>1.5825048013230252</v>
      </c>
      <c r="AC37" s="3">
        <v>52.419741457650765</v>
      </c>
      <c r="AD37" s="4">
        <v>12643286.498828819</v>
      </c>
      <c r="AE37" s="5">
        <v>3.7144618347007892E-2</v>
      </c>
      <c r="AF37" s="3">
        <v>3919418.8146369341</v>
      </c>
      <c r="AG37" s="3">
        <v>3034388.7597189164</v>
      </c>
      <c r="AH37" s="3">
        <v>2022925.839812611</v>
      </c>
      <c r="AI37" s="3">
        <v>2275791.5697891875</v>
      </c>
      <c r="AJ37" s="3">
        <v>1390761.51487117</v>
      </c>
      <c r="AK37" s="7">
        <v>-4.6720827856427949E-3</v>
      </c>
      <c r="AL37" s="7">
        <v>-4.4616288744876442E-3</v>
      </c>
      <c r="AM37" s="8">
        <v>1.6948326165855399E-2</v>
      </c>
      <c r="AN37" s="7">
        <v>2.347576351433367E-2</v>
      </c>
      <c r="AO37" s="7">
        <v>3.7580114027686573E-2</v>
      </c>
      <c r="AP37" s="7">
        <v>-4.0519033020955275E-2</v>
      </c>
      <c r="AQ37" s="7">
        <v>-1.3593505043771992E-2</v>
      </c>
      <c r="AR37" s="7">
        <v>-2.7296584232627152E-2</v>
      </c>
      <c r="AS37" s="7">
        <v>-0.20053043813263838</v>
      </c>
      <c r="AT37" s="8">
        <v>-0.73155403155506371</v>
      </c>
      <c r="AU37" s="7">
        <f t="shared" si="11"/>
        <v>-0.27789846024883458</v>
      </c>
      <c r="AV37" s="7">
        <f t="shared" si="12"/>
        <v>-0.10059674289921805</v>
      </c>
      <c r="AW37" s="7">
        <f t="shared" si="13"/>
        <v>-0.10059674289921816</v>
      </c>
      <c r="AX37" s="7">
        <f t="shared" si="14"/>
        <v>-0.42260531642912769</v>
      </c>
      <c r="AY37" s="7">
        <f t="shared" si="15"/>
        <v>1.7506715103914994E-2</v>
      </c>
    </row>
    <row r="38" spans="1:51" x14ac:dyDescent="0.3">
      <c r="A38" t="str">
        <f t="shared" si="0"/>
        <v>202305 &amp; Segm Valeur &gt; Clients inactifs</v>
      </c>
      <c r="B38">
        <v>202305</v>
      </c>
      <c r="C38" t="s">
        <v>33</v>
      </c>
      <c r="D38" t="s">
        <v>61</v>
      </c>
      <c r="E38" s="4">
        <v>0</v>
      </c>
      <c r="F38" s="4">
        <v>706670.20099099085</v>
      </c>
      <c r="H38" s="2">
        <v>39926.351351351346</v>
      </c>
      <c r="I38" s="2">
        <v>102874.5</v>
      </c>
      <c r="J38" s="3">
        <v>6.8692455466708546</v>
      </c>
      <c r="K38" s="6">
        <v>0.38810736724213818</v>
      </c>
      <c r="L38" s="3">
        <v>17.699343342753831</v>
      </c>
      <c r="M38" s="53">
        <v>2.6323684946099246E-3</v>
      </c>
      <c r="N38" s="53">
        <v>2.6450837071822181E-2</v>
      </c>
      <c r="O38" s="4">
        <v>10632.066103603604</v>
      </c>
      <c r="P38" s="5">
        <v>1.504530131409793E-2</v>
      </c>
    </row>
    <row r="39" spans="1:51" x14ac:dyDescent="0.3">
      <c r="A39" t="str">
        <f t="shared" si="0"/>
        <v>202304 &amp; Segm Valeur &gt; Clients inactifs</v>
      </c>
      <c r="B39">
        <v>202304</v>
      </c>
      <c r="C39" t="s">
        <v>33</v>
      </c>
      <c r="D39" t="s">
        <v>61</v>
      </c>
      <c r="E39" s="4">
        <v>0</v>
      </c>
      <c r="F39" s="4">
        <v>773513.18382882862</v>
      </c>
      <c r="H39" s="2">
        <v>42651.126126126124</v>
      </c>
      <c r="I39" s="2">
        <v>109388.25</v>
      </c>
      <c r="J39" s="3">
        <v>7.071263904750543</v>
      </c>
      <c r="K39" s="6">
        <v>0.38990591883612841</v>
      </c>
      <c r="L39" s="3">
        <v>18.135820881761195</v>
      </c>
      <c r="M39" s="53">
        <v>2.8111133066486527E-3</v>
      </c>
      <c r="N39" s="53">
        <v>2.7799675974459162E-2</v>
      </c>
      <c r="O39" s="4">
        <v>10677.952702702703</v>
      </c>
      <c r="P39" s="5">
        <v>1.3804487015783866E-2</v>
      </c>
    </row>
    <row r="40" spans="1:51" x14ac:dyDescent="0.3">
      <c r="A40" t="str">
        <f t="shared" si="0"/>
        <v>202310 &amp; Segm Valeur &gt; Clients inactifs</v>
      </c>
      <c r="B40">
        <v>202310</v>
      </c>
      <c r="C40" t="s">
        <v>33</v>
      </c>
      <c r="D40" t="s">
        <v>61</v>
      </c>
      <c r="E40" s="4">
        <v>0</v>
      </c>
      <c r="F40" s="4">
        <v>665661.34310810792</v>
      </c>
      <c r="H40" s="2">
        <v>39365.990990990991</v>
      </c>
      <c r="I40" s="2">
        <v>100239</v>
      </c>
      <c r="J40" s="3">
        <v>6.6407420575635028</v>
      </c>
      <c r="K40" s="6">
        <v>0.39272130598859717</v>
      </c>
      <c r="L40" s="3">
        <v>16.909553814114478</v>
      </c>
      <c r="M40" s="53">
        <v>2.5128660873835495E-3</v>
      </c>
      <c r="N40" s="53">
        <v>2.5514038620021377E-2</v>
      </c>
      <c r="O40" s="4">
        <v>11182.953783783785</v>
      </c>
      <c r="P40" s="5">
        <v>1.679976447418188E-2</v>
      </c>
    </row>
    <row r="41" spans="1:51" x14ac:dyDescent="0.3">
      <c r="A41" t="str">
        <f t="shared" si="0"/>
        <v>202302 &amp; Segm Valeur &gt; Clients inactifs</v>
      </c>
      <c r="B41">
        <v>202302</v>
      </c>
      <c r="C41" t="s">
        <v>33</v>
      </c>
      <c r="D41" t="s">
        <v>61</v>
      </c>
      <c r="E41" s="4">
        <v>0</v>
      </c>
      <c r="F41" s="4">
        <v>609642.8916666666</v>
      </c>
      <c r="H41" s="2">
        <v>35983.78378378378</v>
      </c>
      <c r="I41" s="2">
        <v>93873.75</v>
      </c>
      <c r="J41" s="3">
        <v>6.4942850548387234</v>
      </c>
      <c r="K41" s="6">
        <v>0.38332104324993704</v>
      </c>
      <c r="L41" s="3">
        <v>16.942156370487208</v>
      </c>
      <c r="M41" s="53">
        <v>2.6382598653133739E-3</v>
      </c>
      <c r="N41" s="53">
        <v>2.4980346425803691E-2</v>
      </c>
      <c r="O41" s="4">
        <v>12105.482905405403</v>
      </c>
      <c r="P41" s="5">
        <v>1.9856678509464678E-2</v>
      </c>
    </row>
    <row r="42" spans="1:51" x14ac:dyDescent="0.3">
      <c r="A42" t="str">
        <f t="shared" si="0"/>
        <v>202212 &amp; Segm Valeur &gt; Clients inactifs</v>
      </c>
      <c r="B42">
        <v>202212</v>
      </c>
      <c r="C42" t="s">
        <v>33</v>
      </c>
      <c r="D42" t="s">
        <v>61</v>
      </c>
      <c r="E42" s="4">
        <v>0</v>
      </c>
      <c r="F42" s="4">
        <v>785799.24261261267</v>
      </c>
      <c r="H42" s="2">
        <v>43147.522522522522</v>
      </c>
      <c r="I42" s="2">
        <v>110447.25</v>
      </c>
      <c r="J42" s="3">
        <v>7.1147017477810692</v>
      </c>
      <c r="K42" s="6">
        <v>0.39066180934810529</v>
      </c>
      <c r="L42" s="3">
        <v>18.211920329896909</v>
      </c>
      <c r="M42" s="53">
        <v>2.4556559775874213E-3</v>
      </c>
      <c r="N42" s="53">
        <v>2.8078719486989402E-2</v>
      </c>
      <c r="O42" s="4">
        <v>16528.837342342347</v>
      </c>
      <c r="P42" s="5">
        <v>2.1034427683319642E-2</v>
      </c>
    </row>
    <row r="43" spans="1:51" x14ac:dyDescent="0.3">
      <c r="A43" t="str">
        <f t="shared" si="0"/>
        <v>202306 &amp; Segm Valeur &gt; Clients inactifs</v>
      </c>
      <c r="B43">
        <v>202306</v>
      </c>
      <c r="C43" t="s">
        <v>33</v>
      </c>
      <c r="D43" t="s">
        <v>61</v>
      </c>
      <c r="E43" s="4">
        <v>0</v>
      </c>
      <c r="F43" s="4">
        <v>793145.70932432427</v>
      </c>
      <c r="H43" s="2">
        <v>42653.828828828824</v>
      </c>
      <c r="I43" s="2">
        <v>107275.5</v>
      </c>
      <c r="J43" s="3">
        <v>7.3935400844025363</v>
      </c>
      <c r="K43" s="6">
        <v>0.3976101610230558</v>
      </c>
      <c r="L43" s="3">
        <v>18.594947537001737</v>
      </c>
      <c r="M43" s="53">
        <v>2.8543358059233805E-3</v>
      </c>
      <c r="N43" s="53">
        <v>2.741876151481977E-2</v>
      </c>
      <c r="O43" s="4">
        <v>11609.764436936935</v>
      </c>
      <c r="P43" s="5">
        <v>1.4637618662562291E-2</v>
      </c>
    </row>
    <row r="44" spans="1:51" x14ac:dyDescent="0.3">
      <c r="A44" t="str">
        <f t="shared" si="0"/>
        <v>202311 &amp; Segm Valeur &gt; Clients inactifs</v>
      </c>
      <c r="B44">
        <v>202311</v>
      </c>
      <c r="C44" t="s">
        <v>33</v>
      </c>
      <c r="D44" t="s">
        <v>61</v>
      </c>
      <c r="E44" s="4">
        <v>0</v>
      </c>
      <c r="F44" s="4">
        <v>711340.38256756717</v>
      </c>
      <c r="H44" s="2">
        <v>38450.225225225222</v>
      </c>
      <c r="I44" s="2">
        <v>99182.25</v>
      </c>
      <c r="J44" s="3">
        <v>7.1720532914666402</v>
      </c>
      <c r="K44" s="6">
        <v>0.38767244366028419</v>
      </c>
      <c r="L44" s="3">
        <v>18.500291699225034</v>
      </c>
      <c r="M44" s="53">
        <v>2.6202383652883239E-3</v>
      </c>
      <c r="N44" s="53">
        <v>2.526060390269769E-2</v>
      </c>
      <c r="O44" s="4">
        <v>28354.574144144146</v>
      </c>
      <c r="P44" s="5">
        <v>3.9860768260897753E-2</v>
      </c>
    </row>
    <row r="45" spans="1:51" x14ac:dyDescent="0.3">
      <c r="A45" t="str">
        <f t="shared" si="0"/>
        <v>202308 &amp; Segm Valeur &gt; Clients inactifs</v>
      </c>
      <c r="B45">
        <v>202308</v>
      </c>
      <c r="C45" t="s">
        <v>33</v>
      </c>
      <c r="D45" t="s">
        <v>61</v>
      </c>
      <c r="E45" s="4">
        <v>0</v>
      </c>
      <c r="F45" s="4">
        <v>694823.15283783758</v>
      </c>
      <c r="H45" s="2">
        <v>39216.441441441435</v>
      </c>
      <c r="I45" s="2">
        <v>100165.5</v>
      </c>
      <c r="J45" s="3">
        <v>6.9367512051338789</v>
      </c>
      <c r="K45" s="6">
        <v>0.39151645468191576</v>
      </c>
      <c r="L45" s="3">
        <v>17.717649212903666</v>
      </c>
      <c r="M45" s="53">
        <v>2.5170661791409556E-3</v>
      </c>
      <c r="N45" s="53">
        <v>2.5586126010626497E-2</v>
      </c>
      <c r="O45" s="4">
        <v>12867.63425675675</v>
      </c>
      <c r="P45" s="5">
        <v>1.8519294016329194E-2</v>
      </c>
    </row>
    <row r="46" spans="1:51" x14ac:dyDescent="0.3">
      <c r="A46" t="str">
        <f t="shared" si="0"/>
        <v>202301 &amp; Segm Valeur &gt; Clients inactifs</v>
      </c>
      <c r="B46">
        <v>202301</v>
      </c>
      <c r="C46" t="s">
        <v>33</v>
      </c>
      <c r="D46" t="s">
        <v>61</v>
      </c>
      <c r="E46" s="4">
        <v>0</v>
      </c>
      <c r="F46" s="4">
        <v>617112.35387387394</v>
      </c>
      <c r="H46" s="2">
        <v>36577.027027027027</v>
      </c>
      <c r="I46" s="2">
        <v>94007.25</v>
      </c>
      <c r="J46" s="3">
        <v>6.5645187352451426</v>
      </c>
      <c r="K46" s="6">
        <v>0.38908729940538656</v>
      </c>
      <c r="L46" s="3">
        <v>16.871583177547077</v>
      </c>
      <c r="M46" s="53">
        <v>2.5029985465474117E-3</v>
      </c>
      <c r="N46" s="53">
        <v>2.4928729882375964E-2</v>
      </c>
      <c r="O46" s="4">
        <v>15918.370788288288</v>
      </c>
      <c r="P46" s="5">
        <v>2.5794931325490367E-2</v>
      </c>
    </row>
    <row r="47" spans="1:51" x14ac:dyDescent="0.3">
      <c r="A47" t="str">
        <f t="shared" si="0"/>
        <v>202303 &amp; Segm Valeur &gt; Clients inactifs</v>
      </c>
      <c r="B47">
        <v>202303</v>
      </c>
      <c r="C47" t="s">
        <v>33</v>
      </c>
      <c r="D47" t="s">
        <v>61</v>
      </c>
      <c r="E47" s="4">
        <v>0</v>
      </c>
      <c r="F47" s="4">
        <v>739736.71675675677</v>
      </c>
      <c r="H47" s="2">
        <v>41674.774774774771</v>
      </c>
      <c r="I47" s="2">
        <v>105528.75</v>
      </c>
      <c r="J47" s="3">
        <v>7.0098121768404988</v>
      </c>
      <c r="K47" s="6">
        <v>0.39491394311763167</v>
      </c>
      <c r="L47" s="3">
        <v>17.750227103914916</v>
      </c>
      <c r="M47" s="53">
        <v>2.7857786377463996E-3</v>
      </c>
      <c r="N47" s="53">
        <v>2.7276440487034846E-2</v>
      </c>
      <c r="O47" s="4">
        <v>15553.143783783782</v>
      </c>
      <c r="P47" s="5">
        <v>2.1025242402423604E-2</v>
      </c>
    </row>
    <row r="48" spans="1:51" x14ac:dyDescent="0.3">
      <c r="A48" t="str">
        <f t="shared" si="0"/>
        <v>202309 &amp; Segm Valeur &gt; Clients inactifs</v>
      </c>
      <c r="B48">
        <v>202309</v>
      </c>
      <c r="C48" t="s">
        <v>33</v>
      </c>
      <c r="D48" t="s">
        <v>61</v>
      </c>
      <c r="E48" s="4">
        <v>0</v>
      </c>
      <c r="F48" s="4">
        <v>646571.45824324305</v>
      </c>
      <c r="H48" s="2">
        <v>37779.054054054053</v>
      </c>
      <c r="I48" s="2">
        <v>96236.25</v>
      </c>
      <c r="J48" s="3">
        <v>6.7185853380949805</v>
      </c>
      <c r="K48" s="6">
        <v>0.39256573332869948</v>
      </c>
      <c r="L48" s="3">
        <v>17.114548641639686</v>
      </c>
      <c r="M48" s="53">
        <v>2.4094144495327378E-3</v>
      </c>
      <c r="N48" s="53">
        <v>2.4629601050944874E-2</v>
      </c>
      <c r="O48" s="4">
        <v>11634.92099099099</v>
      </c>
      <c r="P48" s="5">
        <v>1.7994795227434676E-2</v>
      </c>
    </row>
    <row r="49" spans="1:46" x14ac:dyDescent="0.3">
      <c r="A49" t="str">
        <f t="shared" si="0"/>
        <v>202307 &amp; Segm Valeur &gt; Clients inactifs</v>
      </c>
      <c r="B49">
        <v>202307</v>
      </c>
      <c r="C49" t="s">
        <v>33</v>
      </c>
      <c r="D49" t="s">
        <v>61</v>
      </c>
      <c r="E49" s="4">
        <v>0</v>
      </c>
      <c r="F49" s="4">
        <v>715929.76094594586</v>
      </c>
      <c r="H49" s="2">
        <v>40435.135135135133</v>
      </c>
      <c r="I49" s="2">
        <v>103498.5</v>
      </c>
      <c r="J49" s="3">
        <v>6.917296008598635</v>
      </c>
      <c r="K49" s="6">
        <v>0.39068329623265202</v>
      </c>
      <c r="L49" s="3">
        <v>17.705635422097451</v>
      </c>
      <c r="M49" s="53">
        <v>2.5965110465986435E-3</v>
      </c>
      <c r="N49" s="53">
        <v>2.6382783798747679E-2</v>
      </c>
      <c r="O49" s="4">
        <v>8526.8883333333342</v>
      </c>
      <c r="P49" s="5">
        <v>1.1910230302574517E-2</v>
      </c>
    </row>
    <row r="50" spans="1:46" x14ac:dyDescent="0.3">
      <c r="A50" t="str">
        <f t="shared" si="0"/>
        <v>202405 &amp; Segm Valeur &gt; Clients inactifs</v>
      </c>
      <c r="B50">
        <v>202405</v>
      </c>
      <c r="C50" t="s">
        <v>33</v>
      </c>
      <c r="D50" t="s">
        <v>61</v>
      </c>
      <c r="E50" s="4">
        <v>0</v>
      </c>
      <c r="F50" s="4">
        <v>761290.48999999976</v>
      </c>
      <c r="H50" s="2">
        <v>42583.558558558558</v>
      </c>
      <c r="I50" s="2">
        <v>109793.25</v>
      </c>
      <c r="J50" s="3">
        <v>6.93385513225995</v>
      </c>
      <c r="K50" s="6">
        <v>0.38785224554841541</v>
      </c>
      <c r="L50" s="3">
        <v>17.877568614964744</v>
      </c>
      <c r="M50" s="53">
        <v>2.6729217371489144E-3</v>
      </c>
      <c r="N50" s="53">
        <v>2.710986113305075E-2</v>
      </c>
      <c r="O50" s="4">
        <v>12340.454301801798</v>
      </c>
      <c r="P50" s="5">
        <v>1.6209915221457451E-2</v>
      </c>
      <c r="V50" s="4">
        <v>0</v>
      </c>
      <c r="W50" s="4">
        <v>706670.20099099085</v>
      </c>
      <c r="Y50" s="2">
        <v>39926.351351351346</v>
      </c>
      <c r="Z50" s="2">
        <v>102874.5</v>
      </c>
      <c r="AA50" s="3">
        <v>6.8692455466708546</v>
      </c>
      <c r="AB50" s="6">
        <v>0.38810736724213818</v>
      </c>
      <c r="AC50" s="3">
        <v>17.699343342753831</v>
      </c>
      <c r="AD50" s="4">
        <v>10632.066103603604</v>
      </c>
      <c r="AE50" s="5">
        <v>1.504530131409793E-2</v>
      </c>
      <c r="AL50" s="7">
        <v>7.7292475234434388E-2</v>
      </c>
      <c r="AN50" s="7">
        <v>6.6552718124023524E-2</v>
      </c>
      <c r="AO50" s="7">
        <v>6.7254275840951783E-2</v>
      </c>
      <c r="AP50" s="7">
        <v>9.4056305237781856E-3</v>
      </c>
      <c r="AQ50" s="7">
        <v>-6.5734823725627223E-4</v>
      </c>
      <c r="AR50" s="7">
        <v>1.006959799352547E-2</v>
      </c>
      <c r="AS50" s="7">
        <v>0.16068261629968217</v>
      </c>
      <c r="AT50" s="8">
        <v>0.1164613907359521</v>
      </c>
    </row>
    <row r="51" spans="1:46" x14ac:dyDescent="0.3">
      <c r="A51" t="str">
        <f t="shared" si="0"/>
        <v>202409 &amp; Segm Valeur &gt; Clients inactifs</v>
      </c>
      <c r="B51">
        <v>202409</v>
      </c>
      <c r="C51" t="s">
        <v>33</v>
      </c>
      <c r="D51" t="s">
        <v>61</v>
      </c>
      <c r="E51" s="4">
        <v>0</v>
      </c>
      <c r="F51" s="4">
        <v>713922.22653153166</v>
      </c>
      <c r="H51" s="2">
        <v>41831.756756756753</v>
      </c>
      <c r="I51" s="2">
        <v>106086</v>
      </c>
      <c r="J51" s="3">
        <v>6.7296554355101676</v>
      </c>
      <c r="K51" s="6">
        <v>0.39431929525815612</v>
      </c>
      <c r="L51" s="3">
        <v>17.066513144137019</v>
      </c>
      <c r="M51" s="53">
        <v>2.7160366803671626E-3</v>
      </c>
      <c r="N51" s="53">
        <v>2.6322714153055395E-2</v>
      </c>
      <c r="O51" s="4">
        <v>13971.914322072071</v>
      </c>
      <c r="P51" s="5">
        <v>1.9570639213674874E-2</v>
      </c>
      <c r="V51" s="4">
        <v>0</v>
      </c>
      <c r="W51" s="4">
        <v>646571.45824324305</v>
      </c>
      <c r="Y51" s="2">
        <v>37779.054054054053</v>
      </c>
      <c r="Z51" s="2">
        <v>96236.25</v>
      </c>
      <c r="AA51" s="3">
        <v>6.7185853380949805</v>
      </c>
      <c r="AB51" s="6">
        <v>0.39256573332869948</v>
      </c>
      <c r="AC51" s="3">
        <v>17.114548641639686</v>
      </c>
      <c r="AD51" s="4">
        <v>11634.92099099099</v>
      </c>
      <c r="AE51" s="5">
        <v>1.7994795227434676E-2</v>
      </c>
      <c r="AL51" s="7">
        <v>0.10416600892232841</v>
      </c>
      <c r="AN51" s="7">
        <v>0.10727380036842948</v>
      </c>
      <c r="AO51" s="7">
        <v>0.10234968631882468</v>
      </c>
      <c r="AP51" s="7">
        <v>1.6476827870919308E-3</v>
      </c>
      <c r="AQ51" s="7">
        <v>4.4669256141833813E-3</v>
      </c>
      <c r="AR51" s="7">
        <v>-2.8067054824804094E-3</v>
      </c>
      <c r="AS51" s="7">
        <v>0.20086026651067357</v>
      </c>
      <c r="AT51" s="8">
        <v>0.15758439862401974</v>
      </c>
    </row>
    <row r="52" spans="1:46" x14ac:dyDescent="0.3">
      <c r="A52" t="str">
        <f t="shared" si="0"/>
        <v>202401 &amp; Segm Valeur &gt; Clients inactifs</v>
      </c>
      <c r="B52">
        <v>202401</v>
      </c>
      <c r="C52" t="s">
        <v>33</v>
      </c>
      <c r="D52" t="s">
        <v>61</v>
      </c>
      <c r="E52" s="4">
        <v>0</v>
      </c>
      <c r="F52" s="4">
        <v>648700.16743243253</v>
      </c>
      <c r="H52" s="2">
        <v>37543.018018018018</v>
      </c>
      <c r="I52" s="2">
        <v>95931.75</v>
      </c>
      <c r="J52" s="3">
        <v>6.7621008418217379</v>
      </c>
      <c r="K52" s="6">
        <v>0.39135133069101752</v>
      </c>
      <c r="L52" s="3">
        <v>17.278849748336746</v>
      </c>
      <c r="M52" s="53">
        <v>2.4181271300999173E-3</v>
      </c>
      <c r="N52" s="53">
        <v>2.4346020352906804E-2</v>
      </c>
      <c r="O52" s="4">
        <v>17953.895270270277</v>
      </c>
      <c r="P52" s="5">
        <v>2.7676723656989536E-2</v>
      </c>
      <c r="V52" s="4">
        <v>0</v>
      </c>
      <c r="W52" s="4">
        <v>617112.35387387394</v>
      </c>
      <c r="Y52" s="2">
        <v>36577.027027027027</v>
      </c>
      <c r="Z52" s="2">
        <v>94007.25</v>
      </c>
      <c r="AA52" s="3">
        <v>6.5645187352451426</v>
      </c>
      <c r="AB52" s="6">
        <v>0.38908729940538656</v>
      </c>
      <c r="AC52" s="3">
        <v>16.871583177547077</v>
      </c>
      <c r="AD52" s="4">
        <v>15918.370788288288</v>
      </c>
      <c r="AE52" s="5">
        <v>2.5794931325490367E-2</v>
      </c>
      <c r="AL52" s="7">
        <v>5.1186487128751512E-2</v>
      </c>
      <c r="AN52" s="7">
        <v>2.6409773278654125E-2</v>
      </c>
      <c r="AO52" s="7">
        <v>2.0471825311345615E-2</v>
      </c>
      <c r="AP52" s="7">
        <v>3.0098490772182629E-2</v>
      </c>
      <c r="AQ52" s="7">
        <v>5.8188259783624741E-3</v>
      </c>
      <c r="AR52" s="7">
        <v>2.4139202972466967E-2</v>
      </c>
      <c r="AS52" s="7">
        <v>0.12787266417236598</v>
      </c>
      <c r="AT52" s="8">
        <v>0.18817923314991686</v>
      </c>
    </row>
    <row r="53" spans="1:46" x14ac:dyDescent="0.3">
      <c r="A53" t="str">
        <f t="shared" si="0"/>
        <v>202404 &amp; Segm Valeur &gt; Clients inactifs</v>
      </c>
      <c r="B53">
        <v>202404</v>
      </c>
      <c r="C53" t="s">
        <v>33</v>
      </c>
      <c r="D53" t="s">
        <v>61</v>
      </c>
      <c r="E53" s="4">
        <v>0</v>
      </c>
      <c r="F53" s="4">
        <v>746942.00207207201</v>
      </c>
      <c r="H53" s="2">
        <v>42611.936936936931</v>
      </c>
      <c r="I53" s="2">
        <v>109599.75</v>
      </c>
      <c r="J53" s="3">
        <v>6.8151797980567661</v>
      </c>
      <c r="K53" s="6">
        <v>0.38879593189707945</v>
      </c>
      <c r="L53" s="3">
        <v>17.528938033901174</v>
      </c>
      <c r="M53" s="53">
        <v>2.7464938714614946E-3</v>
      </c>
      <c r="N53" s="53">
        <v>2.717943920331823E-2</v>
      </c>
      <c r="O53" s="4">
        <v>11837.196869369369</v>
      </c>
      <c r="P53" s="5">
        <v>1.5847544838196427E-2</v>
      </c>
      <c r="V53" s="4">
        <v>0</v>
      </c>
      <c r="W53" s="4">
        <v>773513.18382882862</v>
      </c>
      <c r="Y53" s="2">
        <v>42651.126126126124</v>
      </c>
      <c r="Z53" s="2">
        <v>109388.25</v>
      </c>
      <c r="AA53" s="3">
        <v>7.071263904750543</v>
      </c>
      <c r="AB53" s="6">
        <v>0.38990591883612841</v>
      </c>
      <c r="AC53" s="3">
        <v>18.135820881761195</v>
      </c>
      <c r="AD53" s="4">
        <v>10677.952702702703</v>
      </c>
      <c r="AE53" s="5">
        <v>1.3804487015783866E-2</v>
      </c>
      <c r="AL53" s="7">
        <v>-3.4351297834681271E-2</v>
      </c>
      <c r="AN53" s="7">
        <v>-9.1883128884584497E-4</v>
      </c>
      <c r="AO53" s="7">
        <v>1.9334800584158707E-3</v>
      </c>
      <c r="AP53" s="7">
        <v>-3.6214757381878626E-2</v>
      </c>
      <c r="AQ53" s="7">
        <v>-2.8468071024986275E-3</v>
      </c>
      <c r="AR53" s="7">
        <v>-3.3463213593510455E-2</v>
      </c>
      <c r="AS53" s="7">
        <v>0.10856427247268563</v>
      </c>
      <c r="AT53" s="8">
        <v>0.20430578224125609</v>
      </c>
    </row>
    <row r="54" spans="1:46" x14ac:dyDescent="0.3">
      <c r="A54" t="str">
        <f t="shared" si="0"/>
        <v>202411 &amp; Segm Valeur &gt; Clients inactifs</v>
      </c>
      <c r="B54">
        <v>202411</v>
      </c>
      <c r="C54" t="s">
        <v>33</v>
      </c>
      <c r="D54" t="s">
        <v>61</v>
      </c>
      <c r="E54" s="4">
        <v>0</v>
      </c>
      <c r="F54" s="4">
        <v>740723.97545045009</v>
      </c>
      <c r="H54" s="2">
        <v>41695.270270270266</v>
      </c>
      <c r="I54" s="2">
        <v>107573.25</v>
      </c>
      <c r="J54" s="3">
        <v>6.8857636582556543</v>
      </c>
      <c r="K54" s="6">
        <v>0.38759887119028447</v>
      </c>
      <c r="L54" s="3">
        <v>17.765179854910407</v>
      </c>
      <c r="M54" s="53">
        <v>2.5115602557458263E-3</v>
      </c>
      <c r="N54" s="53">
        <v>2.6113783422605934E-2</v>
      </c>
      <c r="O54" s="4">
        <v>23336.888220720721</v>
      </c>
      <c r="P54" s="5">
        <v>3.1505512166700236E-2</v>
      </c>
      <c r="V54" s="4">
        <v>0</v>
      </c>
      <c r="W54" s="4">
        <v>711340.38256756717</v>
      </c>
      <c r="Y54" s="2">
        <v>38450.225225225222</v>
      </c>
      <c r="Z54" s="2">
        <v>99182.25</v>
      </c>
      <c r="AA54" s="3">
        <v>7.1720532914666402</v>
      </c>
      <c r="AB54" s="6">
        <v>0.38767244366028419</v>
      </c>
      <c r="AC54" s="3">
        <v>18.500291699225034</v>
      </c>
      <c r="AD54" s="4">
        <v>28354.574144144146</v>
      </c>
      <c r="AE54" s="5">
        <v>3.9860768260897753E-2</v>
      </c>
      <c r="AL54" s="7">
        <v>4.1307359462460891E-2</v>
      </c>
      <c r="AN54" s="7">
        <v>8.4395995759112941E-2</v>
      </c>
      <c r="AO54" s="7">
        <v>8.4601831476902367E-2</v>
      </c>
      <c r="AP54" s="7">
        <v>-3.9917387891082123E-2</v>
      </c>
      <c r="AQ54" s="7">
        <v>-1.8977998359925863E-4</v>
      </c>
      <c r="AR54" s="7">
        <v>-3.9735148843378476E-2</v>
      </c>
      <c r="AS54" s="7">
        <v>-0.1769621330906036</v>
      </c>
      <c r="AT54" s="8">
        <v>-0.83552560941975162</v>
      </c>
    </row>
    <row r="55" spans="1:46" x14ac:dyDescent="0.3">
      <c r="A55" t="str">
        <f t="shared" si="0"/>
        <v>202408 &amp; Segm Valeur &gt; Clients inactifs</v>
      </c>
      <c r="B55">
        <v>202408</v>
      </c>
      <c r="C55" t="s">
        <v>33</v>
      </c>
      <c r="D55" t="s">
        <v>61</v>
      </c>
      <c r="E55" s="4">
        <v>0</v>
      </c>
      <c r="F55" s="4">
        <v>778257.36801801808</v>
      </c>
      <c r="H55" s="2">
        <v>44000.225225225222</v>
      </c>
      <c r="I55" s="2">
        <v>112172.25</v>
      </c>
      <c r="J55" s="3">
        <v>6.9380561414968325</v>
      </c>
      <c r="K55" s="6">
        <v>0.39225588525883381</v>
      </c>
      <c r="L55" s="3">
        <v>17.687576916580078</v>
      </c>
      <c r="M55" s="53">
        <v>2.5943610053212056E-3</v>
      </c>
      <c r="N55" s="53">
        <v>2.7375438852099636E-2</v>
      </c>
      <c r="O55" s="4">
        <v>14602.497274774776</v>
      </c>
      <c r="P55" s="5">
        <v>1.8763069743834022E-2</v>
      </c>
      <c r="V55" s="4">
        <v>0</v>
      </c>
      <c r="W55" s="4">
        <v>694823.15283783758</v>
      </c>
      <c r="Y55" s="2">
        <v>39216.441441441435</v>
      </c>
      <c r="Z55" s="2">
        <v>100165.5</v>
      </c>
      <c r="AA55" s="3">
        <v>6.9367512051338789</v>
      </c>
      <c r="AB55" s="6">
        <v>0.39151645468191576</v>
      </c>
      <c r="AC55" s="3">
        <v>17.717649212903666</v>
      </c>
      <c r="AD55" s="4">
        <v>12867.63425675675</v>
      </c>
      <c r="AE55" s="5">
        <v>1.8519294016329194E-2</v>
      </c>
      <c r="AL55" s="7">
        <v>0.12007978553882892</v>
      </c>
      <c r="AN55" s="7">
        <v>0.12198413746762315</v>
      </c>
      <c r="AO55" s="7">
        <v>0.11986911661200716</v>
      </c>
      <c r="AP55" s="7">
        <v>1.8811923973682809E-4</v>
      </c>
      <c r="AQ55" s="7">
        <v>1.8886321841027343E-3</v>
      </c>
      <c r="AR55" s="7">
        <v>-1.6973073550686779E-3</v>
      </c>
      <c r="AS55" s="7">
        <v>0.13482377439404258</v>
      </c>
      <c r="AT55" s="8">
        <v>2.4377572750482884E-2</v>
      </c>
    </row>
    <row r="56" spans="1:46" x14ac:dyDescent="0.3">
      <c r="A56" t="str">
        <f t="shared" si="0"/>
        <v>202402 &amp; Segm Valeur &gt; Clients inactifs</v>
      </c>
      <c r="B56">
        <v>202402</v>
      </c>
      <c r="C56" t="s">
        <v>33</v>
      </c>
      <c r="D56" t="s">
        <v>61</v>
      </c>
      <c r="E56" s="4">
        <v>0</v>
      </c>
      <c r="F56" s="4">
        <v>646476.48635135067</v>
      </c>
      <c r="H56" s="2">
        <v>37678.153153153151</v>
      </c>
      <c r="I56" s="2">
        <v>97918.5</v>
      </c>
      <c r="J56" s="3">
        <v>6.6021894366371079</v>
      </c>
      <c r="K56" s="6">
        <v>0.38479095526538043</v>
      </c>
      <c r="L56" s="3">
        <v>17.157860251896381</v>
      </c>
      <c r="M56" s="53">
        <v>2.5006677190881946E-3</v>
      </c>
      <c r="N56" s="53">
        <v>2.4731198479432309E-2</v>
      </c>
      <c r="O56" s="4">
        <v>13312.955382882881</v>
      </c>
      <c r="P56" s="5">
        <v>2.059310069886669E-2</v>
      </c>
      <c r="V56" s="4">
        <v>0</v>
      </c>
      <c r="W56" s="4">
        <v>609642.8916666666</v>
      </c>
      <c r="Y56" s="2">
        <v>35983.78378378378</v>
      </c>
      <c r="Z56" s="2">
        <v>93873.75</v>
      </c>
      <c r="AA56" s="3">
        <v>6.4942850548387234</v>
      </c>
      <c r="AB56" s="6">
        <v>0.38332104324993704</v>
      </c>
      <c r="AC56" s="3">
        <v>16.942156370487208</v>
      </c>
      <c r="AD56" s="4">
        <v>12105.482905405403</v>
      </c>
      <c r="AE56" s="5">
        <v>1.9856678509464678E-2</v>
      </c>
      <c r="AL56" s="7">
        <v>6.04183124057871E-2</v>
      </c>
      <c r="AN56" s="7">
        <v>4.7087026187972558E-2</v>
      </c>
      <c r="AO56" s="7">
        <v>4.3087124995006665E-2</v>
      </c>
      <c r="AP56" s="7">
        <v>1.661528265039558E-2</v>
      </c>
      <c r="AQ56" s="7">
        <v>3.8346760276475322E-3</v>
      </c>
      <c r="AR56" s="7">
        <v>1.2731784354494735E-2</v>
      </c>
      <c r="AS56" s="7">
        <v>9.9745915707196708E-2</v>
      </c>
      <c r="AT56" s="8">
        <v>7.364221894020119E-2</v>
      </c>
    </row>
    <row r="57" spans="1:46" x14ac:dyDescent="0.3">
      <c r="A57" t="str">
        <f t="shared" si="0"/>
        <v>202410 &amp; Segm Valeur &gt; Clients inactifs</v>
      </c>
      <c r="B57">
        <v>202410</v>
      </c>
      <c r="C57" t="s">
        <v>33</v>
      </c>
      <c r="D57" t="s">
        <v>61</v>
      </c>
      <c r="E57" s="4">
        <v>0</v>
      </c>
      <c r="F57" s="4">
        <v>745552.05031531525</v>
      </c>
      <c r="H57" s="2">
        <v>43956.531531531531</v>
      </c>
      <c r="I57" s="2">
        <v>111315</v>
      </c>
      <c r="J57" s="3">
        <v>6.6976782133164017</v>
      </c>
      <c r="K57" s="6">
        <v>0.39488417132939435</v>
      </c>
      <c r="L57" s="3">
        <v>16.961121006112712</v>
      </c>
      <c r="M57" s="53">
        <v>2.5869626794553973E-3</v>
      </c>
      <c r="N57" s="53">
        <v>2.6975963910878628E-2</v>
      </c>
      <c r="O57" s="4">
        <v>17119.40355855857</v>
      </c>
      <c r="P57" s="5">
        <v>2.2962050136296031E-2</v>
      </c>
      <c r="V57" s="4">
        <v>0</v>
      </c>
      <c r="W57" s="4">
        <v>665661.34310810792</v>
      </c>
      <c r="Y57" s="2">
        <v>39365.990990990991</v>
      </c>
      <c r="Z57" s="2">
        <v>100239</v>
      </c>
      <c r="AA57" s="3">
        <v>6.6407420575635028</v>
      </c>
      <c r="AB57" s="6">
        <v>0.39272130598859717</v>
      </c>
      <c r="AC57" s="3">
        <v>16.909553814114478</v>
      </c>
      <c r="AD57" s="4">
        <v>11182.953783783785</v>
      </c>
      <c r="AE57" s="5">
        <v>1.679976447418188E-2</v>
      </c>
      <c r="AL57" s="7">
        <v>0.12001704475459163</v>
      </c>
      <c r="AN57" s="7">
        <v>0.11661183740023451</v>
      </c>
      <c r="AO57" s="7">
        <v>0.11049591476371479</v>
      </c>
      <c r="AP57" s="7">
        <v>8.5737640853029706E-3</v>
      </c>
      <c r="AQ57" s="7">
        <v>5.5073796807447728E-3</v>
      </c>
      <c r="AR57" s="7">
        <v>3.0495891591884039E-3</v>
      </c>
      <c r="AS57" s="7">
        <v>0.530848100560259</v>
      </c>
      <c r="AT57" s="8">
        <v>0.6162285662114152</v>
      </c>
    </row>
    <row r="58" spans="1:46" x14ac:dyDescent="0.3">
      <c r="A58" t="str">
        <f t="shared" si="0"/>
        <v>202312 &amp; Segm Valeur &gt; Clients inactifs</v>
      </c>
      <c r="B58">
        <v>202312</v>
      </c>
      <c r="C58" t="s">
        <v>33</v>
      </c>
      <c r="D58" t="s">
        <v>61</v>
      </c>
      <c r="E58" s="4">
        <v>0</v>
      </c>
      <c r="F58" s="4">
        <v>804768.77009009011</v>
      </c>
      <c r="H58" s="2">
        <v>43128.378378378373</v>
      </c>
      <c r="I58" s="2">
        <v>110485.5</v>
      </c>
      <c r="J58" s="3">
        <v>7.2839311048969329</v>
      </c>
      <c r="K58" s="6">
        <v>0.39035328960251231</v>
      </c>
      <c r="L58" s="3">
        <v>18.659843016345505</v>
      </c>
      <c r="M58" s="53">
        <v>2.3643242463386714E-3</v>
      </c>
      <c r="N58" s="53">
        <v>2.6926575118918973E-2</v>
      </c>
      <c r="O58" s="4">
        <v>19384.828536036039</v>
      </c>
      <c r="P58" s="5">
        <v>2.4087451273570169E-2</v>
      </c>
      <c r="V58" s="4">
        <v>0</v>
      </c>
      <c r="W58" s="4">
        <v>785799.24261261267</v>
      </c>
      <c r="Y58" s="2">
        <v>43147.522522522522</v>
      </c>
      <c r="Z58" s="2">
        <v>110447.25</v>
      </c>
      <c r="AA58" s="3">
        <v>7.1147017477810692</v>
      </c>
      <c r="AB58" s="6">
        <v>0.39066180934810529</v>
      </c>
      <c r="AC58" s="3">
        <v>18.211920329896909</v>
      </c>
      <c r="AD58" s="4">
        <v>16528.837342342347</v>
      </c>
      <c r="AE58" s="5">
        <v>2.1034427683319642E-2</v>
      </c>
      <c r="AL58" s="7">
        <v>2.4140424740558331E-2</v>
      </c>
      <c r="AN58" s="7">
        <v>-4.4369046065517725E-4</v>
      </c>
      <c r="AO58" s="7">
        <v>3.4631917046379357E-4</v>
      </c>
      <c r="AP58" s="7">
        <v>2.3785868067996319E-2</v>
      </c>
      <c r="AQ58" s="7">
        <v>-7.8973613035737689E-4</v>
      </c>
      <c r="AR58" s="7">
        <v>2.4595027780419221E-2</v>
      </c>
      <c r="AS58" s="7">
        <v>0.17278839004467828</v>
      </c>
      <c r="AT58" s="8">
        <v>0.30530235902505276</v>
      </c>
    </row>
    <row r="59" spans="1:46" x14ac:dyDescent="0.3">
      <c r="A59" t="str">
        <f t="shared" si="0"/>
        <v>202406 &amp; Segm Valeur &gt; Clients inactifs</v>
      </c>
      <c r="B59">
        <v>202406</v>
      </c>
      <c r="C59" t="s">
        <v>33</v>
      </c>
      <c r="D59" t="s">
        <v>61</v>
      </c>
      <c r="E59" s="4">
        <v>0</v>
      </c>
      <c r="F59" s="4">
        <v>736318.62738738745</v>
      </c>
      <c r="H59" s="2">
        <v>42617.117117117115</v>
      </c>
      <c r="I59" s="2">
        <v>109899.75</v>
      </c>
      <c r="J59" s="3">
        <v>6.6999117594661266</v>
      </c>
      <c r="K59" s="6">
        <v>0.3877817476119565</v>
      </c>
      <c r="L59" s="3">
        <v>17.27753253144488</v>
      </c>
      <c r="M59" s="53">
        <v>2.6499482679934985E-3</v>
      </c>
      <c r="N59" s="53">
        <v>2.7218859071497962E-2</v>
      </c>
      <c r="O59" s="4">
        <v>12690.148513513512</v>
      </c>
      <c r="P59" s="5">
        <v>1.7234588453290681E-2</v>
      </c>
      <c r="V59" s="4">
        <v>0</v>
      </c>
      <c r="W59" s="4">
        <v>793145.70932432427</v>
      </c>
      <c r="Y59" s="2">
        <v>42653.828828828824</v>
      </c>
      <c r="Z59" s="2">
        <v>107275.5</v>
      </c>
      <c r="AA59" s="3">
        <v>7.3935400844025363</v>
      </c>
      <c r="AB59" s="6">
        <v>0.3976101610230558</v>
      </c>
      <c r="AC59" s="3">
        <v>18.594947537001737</v>
      </c>
      <c r="AD59" s="4">
        <v>11609.764436936935</v>
      </c>
      <c r="AE59" s="5">
        <v>1.4637618662562291E-2</v>
      </c>
      <c r="AL59" s="7">
        <v>-7.1647720297632889E-2</v>
      </c>
      <c r="AN59" s="7">
        <v>-8.6068971343777889E-4</v>
      </c>
      <c r="AO59" s="7">
        <v>2.446271515863363E-2</v>
      </c>
      <c r="AP59" s="7">
        <v>-9.3815454710212909E-2</v>
      </c>
      <c r="AQ59" s="7">
        <v>-2.4718717916591193E-2</v>
      </c>
      <c r="AR59" s="7">
        <v>-7.0848008736532186E-2</v>
      </c>
      <c r="AS59" s="7">
        <v>9.3058225465737276E-2</v>
      </c>
      <c r="AT59" s="8">
        <v>0.25969697907283901</v>
      </c>
    </row>
    <row r="60" spans="1:46" x14ac:dyDescent="0.3">
      <c r="A60" t="str">
        <f t="shared" si="0"/>
        <v>202412 &amp; Segm Valeur &gt; Clients inactifs</v>
      </c>
      <c r="B60">
        <v>202412</v>
      </c>
      <c r="C60" t="s">
        <v>33</v>
      </c>
      <c r="D60" t="s">
        <v>61</v>
      </c>
      <c r="E60" s="4">
        <v>0</v>
      </c>
      <c r="F60" s="4">
        <v>821525.07594594581</v>
      </c>
      <c r="H60" s="2">
        <v>45266.441441441435</v>
      </c>
      <c r="I60" s="2">
        <v>116575.5</v>
      </c>
      <c r="J60" s="3">
        <v>7.0471503527408919</v>
      </c>
      <c r="K60" s="6">
        <v>0.38830149938401665</v>
      </c>
      <c r="L60" s="3">
        <v>18.148656041555753</v>
      </c>
      <c r="M60" s="53">
        <v>2.4243691092018182E-3</v>
      </c>
      <c r="N60" s="53">
        <v>2.7381767555686543E-2</v>
      </c>
      <c r="O60" s="4">
        <v>18122.96601351352</v>
      </c>
      <c r="P60" s="5">
        <v>2.2060149524524026E-2</v>
      </c>
      <c r="V60" s="4">
        <v>0</v>
      </c>
      <c r="W60" s="4">
        <v>804768.77009009011</v>
      </c>
      <c r="Y60" s="2">
        <v>43128.378378378373</v>
      </c>
      <c r="Z60" s="2">
        <v>110485.5</v>
      </c>
      <c r="AA60" s="3">
        <v>7.2839311048969329</v>
      </c>
      <c r="AB60" s="6">
        <v>0.39035328960251231</v>
      </c>
      <c r="AC60" s="3">
        <v>18.659843016345505</v>
      </c>
      <c r="AD60" s="4">
        <v>19384.828536036039</v>
      </c>
      <c r="AE60" s="5">
        <v>2.4087451273570169E-2</v>
      </c>
      <c r="AL60" s="7">
        <v>2.0821267522570297E-2</v>
      </c>
      <c r="AN60" s="7">
        <v>4.9574390307587812E-2</v>
      </c>
      <c r="AO60" s="7">
        <v>5.5120355159726797E-2</v>
      </c>
      <c r="AP60" s="7">
        <v>-3.2507275088976995E-2</v>
      </c>
      <c r="AQ60" s="7">
        <v>-5.2562390868665654E-3</v>
      </c>
      <c r="AR60" s="7">
        <v>-2.7395030833966105E-2</v>
      </c>
      <c r="AS60" s="7">
        <v>-6.5095366728508353E-2</v>
      </c>
      <c r="AT60" s="8">
        <v>-0.20273017490461431</v>
      </c>
    </row>
    <row r="61" spans="1:46" x14ac:dyDescent="0.3">
      <c r="A61" t="str">
        <f t="shared" si="0"/>
        <v>202403 &amp; Segm Valeur &gt; Clients inactifs</v>
      </c>
      <c r="B61">
        <v>202403</v>
      </c>
      <c r="C61" t="s">
        <v>33</v>
      </c>
      <c r="D61" t="s">
        <v>61</v>
      </c>
      <c r="E61" s="4">
        <v>0</v>
      </c>
      <c r="F61" s="4">
        <v>724135.65626126132</v>
      </c>
      <c r="H61" s="2">
        <v>41844.594594594593</v>
      </c>
      <c r="I61" s="2">
        <v>107877.75</v>
      </c>
      <c r="J61" s="3">
        <v>6.7125580229589632</v>
      </c>
      <c r="K61" s="6">
        <v>0.38788901876980741</v>
      </c>
      <c r="L61" s="3">
        <v>17.305357197911622</v>
      </c>
      <c r="M61" s="53">
        <v>2.513906053352089E-3</v>
      </c>
      <c r="N61" s="53">
        <v>2.6632141428804195E-2</v>
      </c>
      <c r="O61" s="4">
        <v>14565.531081081079</v>
      </c>
      <c r="P61" s="5">
        <v>2.0114368012595106E-2</v>
      </c>
      <c r="V61" s="4">
        <v>0</v>
      </c>
      <c r="W61" s="4">
        <v>739736.71675675677</v>
      </c>
      <c r="Y61" s="2">
        <v>41674.774774774771</v>
      </c>
      <c r="Z61" s="2">
        <v>105528.75</v>
      </c>
      <c r="AA61" s="3">
        <v>7.0098121768404988</v>
      </c>
      <c r="AB61" s="6">
        <v>0.39491394311763167</v>
      </c>
      <c r="AC61" s="3">
        <v>17.750227103914916</v>
      </c>
      <c r="AD61" s="4">
        <v>15553.143783783782</v>
      </c>
      <c r="AE61" s="5">
        <v>2.1025242402423604E-2</v>
      </c>
      <c r="AL61" s="7">
        <v>-2.1090017761853819E-2</v>
      </c>
      <c r="AN61" s="7">
        <v>4.0748827255236986E-3</v>
      </c>
      <c r="AO61" s="7">
        <v>2.2259336910557481E-2</v>
      </c>
      <c r="AP61" s="7">
        <v>-4.2405437746766528E-2</v>
      </c>
      <c r="AQ61" s="7">
        <v>-1.7788494101692809E-2</v>
      </c>
      <c r="AR61" s="7">
        <v>-2.5062772628141494E-2</v>
      </c>
      <c r="AS61" s="7">
        <v>-6.3499233108898601E-2</v>
      </c>
      <c r="AT61" s="8">
        <v>-9.1087438982849836E-2</v>
      </c>
    </row>
    <row r="62" spans="1:46" x14ac:dyDescent="0.3">
      <c r="A62" t="str">
        <f t="shared" si="0"/>
        <v>202407 &amp; Segm Valeur &gt; Clients inactifs</v>
      </c>
      <c r="B62">
        <v>202407</v>
      </c>
      <c r="C62" t="s">
        <v>33</v>
      </c>
      <c r="D62" t="s">
        <v>61</v>
      </c>
      <c r="E62" s="4">
        <v>0</v>
      </c>
      <c r="F62" s="4">
        <v>691740.73851351277</v>
      </c>
      <c r="H62" s="2">
        <v>40736.711711711709</v>
      </c>
      <c r="I62" s="2">
        <v>106727.25</v>
      </c>
      <c r="J62" s="3">
        <v>6.4813881976113201</v>
      </c>
      <c r="K62" s="6">
        <v>0.38168988437078355</v>
      </c>
      <c r="L62" s="3">
        <v>16.980770156630953</v>
      </c>
      <c r="M62" s="53">
        <v>2.4085399657791697E-3</v>
      </c>
      <c r="N62" s="53">
        <v>2.6222958259569381E-2</v>
      </c>
      <c r="O62" s="4">
        <v>8716.5501351351413</v>
      </c>
      <c r="P62" s="5">
        <v>1.2600891706719783E-2</v>
      </c>
      <c r="V62" s="4">
        <v>0</v>
      </c>
      <c r="W62" s="4">
        <v>715929.76094594586</v>
      </c>
      <c r="Y62" s="2">
        <v>40435.135135135133</v>
      </c>
      <c r="Z62" s="2">
        <v>103498.5</v>
      </c>
      <c r="AA62" s="3">
        <v>6.917296008598635</v>
      </c>
      <c r="AB62" s="6">
        <v>0.39068329623265202</v>
      </c>
      <c r="AC62" s="3">
        <v>17.705635422097451</v>
      </c>
      <c r="AD62" s="4">
        <v>8526.8883333333342</v>
      </c>
      <c r="AE62" s="5">
        <v>1.1910230302574517E-2</v>
      </c>
      <c r="AL62" s="7">
        <v>-3.3786865349014872E-2</v>
      </c>
      <c r="AN62" s="7">
        <v>7.4582804179756934E-3</v>
      </c>
      <c r="AO62" s="7">
        <v>3.1196104291366433E-2</v>
      </c>
      <c r="AP62" s="7">
        <v>-6.301708217278168E-2</v>
      </c>
      <c r="AQ62" s="7">
        <v>-2.3019698944366729E-2</v>
      </c>
      <c r="AR62" s="7">
        <v>-4.0939805219406766E-2</v>
      </c>
      <c r="AS62" s="7">
        <v>2.224279178846289E-2</v>
      </c>
      <c r="AT62" s="8">
        <v>6.9066140414526633E-2</v>
      </c>
    </row>
    <row r="63" spans="1:46" x14ac:dyDescent="0.3">
      <c r="A63" t="str">
        <f t="shared" si="0"/>
        <v>202311 &amp; Segm Valeur &gt; Gros acheteurs</v>
      </c>
      <c r="B63">
        <v>202311</v>
      </c>
      <c r="C63" t="s">
        <v>33</v>
      </c>
      <c r="D63" t="s">
        <v>60</v>
      </c>
      <c r="E63" s="4">
        <v>0</v>
      </c>
      <c r="F63" s="4">
        <v>157912439.0936937</v>
      </c>
      <c r="H63" s="2">
        <v>2615537.8378378376</v>
      </c>
      <c r="I63" s="2">
        <v>1137892.5</v>
      </c>
      <c r="J63" s="3">
        <v>138.7762368533879</v>
      </c>
      <c r="K63" s="6">
        <v>2.2985807867068617</v>
      </c>
      <c r="L63" s="3">
        <v>60.374748477825008</v>
      </c>
      <c r="M63" s="53">
        <v>0.58167403596020351</v>
      </c>
      <c r="N63" s="53">
        <v>0.2898084256643747</v>
      </c>
      <c r="O63" s="4">
        <v>10679687.805872524</v>
      </c>
      <c r="P63" s="5">
        <v>6.7630440433739211E-2</v>
      </c>
    </row>
    <row r="64" spans="1:46" x14ac:dyDescent="0.3">
      <c r="A64" t="str">
        <f t="shared" si="0"/>
        <v>202306 &amp; Segm Valeur &gt; Gros acheteurs</v>
      </c>
      <c r="B64">
        <v>202306</v>
      </c>
      <c r="C64" t="s">
        <v>33</v>
      </c>
      <c r="D64" t="s">
        <v>60</v>
      </c>
      <c r="E64" s="4">
        <v>0</v>
      </c>
      <c r="F64" s="4">
        <v>161660012.98018017</v>
      </c>
      <c r="H64" s="2">
        <v>2682731.9819819815</v>
      </c>
      <c r="I64" s="2">
        <v>1113037.5</v>
      </c>
      <c r="J64" s="3">
        <v>145.24219802134266</v>
      </c>
      <c r="K64" s="6">
        <v>2.4102799609015704</v>
      </c>
      <c r="L64" s="3">
        <v>60.259472085149184</v>
      </c>
      <c r="M64" s="53">
        <v>0.58177451886924747</v>
      </c>
      <c r="N64" s="53">
        <v>0.28448350060872435</v>
      </c>
      <c r="O64" s="4">
        <v>4028786.5596396397</v>
      </c>
      <c r="P64" s="5">
        <v>2.4921354918693323E-2</v>
      </c>
    </row>
    <row r="65" spans="1:46" x14ac:dyDescent="0.3">
      <c r="A65" t="str">
        <f t="shared" si="0"/>
        <v>202307 &amp; Segm Valeur &gt; Gros acheteurs</v>
      </c>
      <c r="B65">
        <v>202307</v>
      </c>
      <c r="C65" t="s">
        <v>33</v>
      </c>
      <c r="D65" t="s">
        <v>60</v>
      </c>
      <c r="E65" s="4">
        <v>0</v>
      </c>
      <c r="F65" s="4">
        <v>156905341.27306294</v>
      </c>
      <c r="H65" s="2">
        <v>2652552.4774774774</v>
      </c>
      <c r="I65" s="2">
        <v>1118953.5</v>
      </c>
      <c r="J65" s="3">
        <v>140.22507751489491</v>
      </c>
      <c r="K65" s="6">
        <v>2.3705654233866533</v>
      </c>
      <c r="L65" s="3">
        <v>59.152587029032766</v>
      </c>
      <c r="M65" s="53">
        <v>0.5690592486999545</v>
      </c>
      <c r="N65" s="53">
        <v>0.28523223304059492</v>
      </c>
      <c r="O65" s="4">
        <v>2218233.2784655397</v>
      </c>
      <c r="P65" s="5">
        <v>1.4137398131049854E-2</v>
      </c>
    </row>
    <row r="66" spans="1:46" x14ac:dyDescent="0.3">
      <c r="A66" t="str">
        <f t="shared" ref="A66:A129" si="16">_xlfn.CONCAT(B66," &amp; ",C66," &gt; ",D66)</f>
        <v>202309 &amp; Segm Valeur &gt; Gros acheteurs</v>
      </c>
      <c r="B66">
        <v>202309</v>
      </c>
      <c r="C66" t="s">
        <v>33</v>
      </c>
      <c r="D66" t="s">
        <v>60</v>
      </c>
      <c r="E66" s="4">
        <v>0</v>
      </c>
      <c r="F66" s="4">
        <v>157466957.74752256</v>
      </c>
      <c r="H66" s="2">
        <v>2675820.4954954954</v>
      </c>
      <c r="I66" s="2">
        <v>1140834</v>
      </c>
      <c r="J66" s="3">
        <v>138.02793197566217</v>
      </c>
      <c r="K66" s="6">
        <v>2.3454950461640305</v>
      </c>
      <c r="L66" s="3">
        <v>58.848102110214086</v>
      </c>
      <c r="M66" s="53">
        <v>0.58679231581253743</v>
      </c>
      <c r="N66" s="53">
        <v>0.29197195740018594</v>
      </c>
      <c r="O66" s="4">
        <v>5011423.2262466252</v>
      </c>
      <c r="P66" s="5">
        <v>3.1825236849255568E-2</v>
      </c>
    </row>
    <row r="67" spans="1:46" x14ac:dyDescent="0.3">
      <c r="A67" t="str">
        <f t="shared" si="16"/>
        <v>202212 &amp; Segm Valeur &gt; Gros acheteurs</v>
      </c>
      <c r="B67">
        <v>202212</v>
      </c>
      <c r="C67" t="s">
        <v>33</v>
      </c>
      <c r="D67" t="s">
        <v>60</v>
      </c>
      <c r="E67" s="4">
        <v>0</v>
      </c>
      <c r="F67" s="4">
        <v>179279056.99081078</v>
      </c>
      <c r="H67" s="2">
        <v>2838858.1081081079</v>
      </c>
      <c r="I67" s="2">
        <v>1046936.25</v>
      </c>
      <c r="J67" s="3">
        <v>171.24161761598262</v>
      </c>
      <c r="K67" s="6">
        <v>2.7115864104505962</v>
      </c>
      <c r="L67" s="3">
        <v>63.151820261382213</v>
      </c>
      <c r="M67" s="53">
        <v>0.56025466058225259</v>
      </c>
      <c r="N67" s="53">
        <v>0.26615990243768506</v>
      </c>
      <c r="O67" s="4">
        <v>6194191.3904279275</v>
      </c>
      <c r="P67" s="5">
        <v>3.4550557630082919E-2</v>
      </c>
    </row>
    <row r="68" spans="1:46" x14ac:dyDescent="0.3">
      <c r="A68" t="str">
        <f t="shared" si="16"/>
        <v>202301 &amp; Segm Valeur &gt; Gros acheteurs</v>
      </c>
      <c r="B68">
        <v>202301</v>
      </c>
      <c r="C68" t="s">
        <v>33</v>
      </c>
      <c r="D68" t="s">
        <v>60</v>
      </c>
      <c r="E68" s="4">
        <v>0</v>
      </c>
      <c r="F68" s="4">
        <v>139858245.83887386</v>
      </c>
      <c r="H68" s="2">
        <v>2452806.9819819815</v>
      </c>
      <c r="I68" s="2">
        <v>1056035.25</v>
      </c>
      <c r="J68" s="3">
        <v>132.43709984006108</v>
      </c>
      <c r="K68" s="6">
        <v>2.3226563525999548</v>
      </c>
      <c r="L68" s="3">
        <v>57.019670469896468</v>
      </c>
      <c r="M68" s="53">
        <v>0.56726296898752171</v>
      </c>
      <c r="N68" s="53">
        <v>0.28003816188131631</v>
      </c>
      <c r="O68" s="4">
        <v>5220393.3379954919</v>
      </c>
      <c r="P68" s="5">
        <v>3.7326317849072248E-2</v>
      </c>
    </row>
    <row r="69" spans="1:46" x14ac:dyDescent="0.3">
      <c r="A69" t="str">
        <f t="shared" si="16"/>
        <v>202308 &amp; Segm Valeur &gt; Gros acheteurs</v>
      </c>
      <c r="B69">
        <v>202308</v>
      </c>
      <c r="C69" t="s">
        <v>33</v>
      </c>
      <c r="D69" t="s">
        <v>60</v>
      </c>
      <c r="E69" s="4">
        <v>0</v>
      </c>
      <c r="F69" s="4">
        <v>156952411.41481984</v>
      </c>
      <c r="H69" s="2">
        <v>2658162.6126126125</v>
      </c>
      <c r="I69" s="2">
        <v>1118163</v>
      </c>
      <c r="J69" s="3">
        <v>140.36630742997204</v>
      </c>
      <c r="K69" s="6">
        <v>2.3772586041682766</v>
      </c>
      <c r="L69" s="3">
        <v>59.045451422009492</v>
      </c>
      <c r="M69" s="53">
        <v>0.56857576621235806</v>
      </c>
      <c r="N69" s="53">
        <v>0.28562188995632387</v>
      </c>
      <c r="O69" s="4">
        <v>4354184.4720495492</v>
      </c>
      <c r="P69" s="5">
        <v>2.7742068011568099E-2</v>
      </c>
    </row>
    <row r="70" spans="1:46" x14ac:dyDescent="0.3">
      <c r="A70" t="str">
        <f t="shared" si="16"/>
        <v>202310 &amp; Segm Valeur &gt; Gros acheteurs</v>
      </c>
      <c r="B70">
        <v>202310</v>
      </c>
      <c r="C70" t="s">
        <v>33</v>
      </c>
      <c r="D70" t="s">
        <v>60</v>
      </c>
      <c r="E70" s="4">
        <v>0</v>
      </c>
      <c r="F70" s="4">
        <v>153764687.0262613</v>
      </c>
      <c r="H70" s="2">
        <v>2677417.5675675673</v>
      </c>
      <c r="I70" s="2">
        <v>1138636.5</v>
      </c>
      <c r="J70" s="3">
        <v>135.04282273250621</v>
      </c>
      <c r="K70" s="6">
        <v>2.3514243286312775</v>
      </c>
      <c r="L70" s="3">
        <v>57.430222647697214</v>
      </c>
      <c r="M70" s="53">
        <v>0.5804604270112842</v>
      </c>
      <c r="N70" s="53">
        <v>0.28981948777587535</v>
      </c>
      <c r="O70" s="4">
        <v>5249841.2304249974</v>
      </c>
      <c r="P70" s="5">
        <v>3.4142047383924914E-2</v>
      </c>
    </row>
    <row r="71" spans="1:46" x14ac:dyDescent="0.3">
      <c r="A71" t="str">
        <f t="shared" si="16"/>
        <v>202303 &amp; Segm Valeur &gt; Gros acheteurs</v>
      </c>
      <c r="B71">
        <v>202303</v>
      </c>
      <c r="C71" t="s">
        <v>33</v>
      </c>
      <c r="D71" t="s">
        <v>60</v>
      </c>
      <c r="E71" s="4">
        <v>0</v>
      </c>
      <c r="F71" s="4">
        <v>152109061.96211705</v>
      </c>
      <c r="H71" s="2">
        <v>2613673.6486486485</v>
      </c>
      <c r="I71" s="2">
        <v>1074667.5</v>
      </c>
      <c r="J71" s="3">
        <v>141.54058065598619</v>
      </c>
      <c r="K71" s="6">
        <v>2.4320765712638082</v>
      </c>
      <c r="L71" s="3">
        <v>58.19741957484333</v>
      </c>
      <c r="M71" s="53">
        <v>0.57282836693510475</v>
      </c>
      <c r="N71" s="53">
        <v>0.27777363142366912</v>
      </c>
      <c r="O71" s="4">
        <v>4274243.2187162172</v>
      </c>
      <c r="P71" s="5">
        <v>2.8099859164082697E-2</v>
      </c>
    </row>
    <row r="72" spans="1:46" x14ac:dyDescent="0.3">
      <c r="A72" t="str">
        <f t="shared" si="16"/>
        <v>202305 &amp; Segm Valeur &gt; Gros acheteurs</v>
      </c>
      <c r="B72">
        <v>202305</v>
      </c>
      <c r="C72" t="s">
        <v>33</v>
      </c>
      <c r="D72" t="s">
        <v>60</v>
      </c>
      <c r="E72" s="4">
        <v>0</v>
      </c>
      <c r="F72" s="4">
        <v>154478163.64108115</v>
      </c>
      <c r="H72" s="2">
        <v>2551076.1261261259</v>
      </c>
      <c r="I72" s="2">
        <v>1097256.75</v>
      </c>
      <c r="J72" s="3">
        <v>140.78579479331628</v>
      </c>
      <c r="K72" s="6">
        <v>2.3249582434795921</v>
      </c>
      <c r="L72" s="3">
        <v>60.554117558091129</v>
      </c>
      <c r="M72" s="53">
        <v>0.57543596787260398</v>
      </c>
      <c r="N72" s="53">
        <v>0.28212394247560985</v>
      </c>
      <c r="O72" s="4">
        <v>3117210.8535135137</v>
      </c>
      <c r="P72" s="5">
        <v>2.0178974037755443E-2</v>
      </c>
    </row>
    <row r="73" spans="1:46" x14ac:dyDescent="0.3">
      <c r="A73" t="str">
        <f t="shared" si="16"/>
        <v>202304 &amp; Segm Valeur &gt; Gros acheteurs</v>
      </c>
      <c r="B73">
        <v>202304</v>
      </c>
      <c r="C73" t="s">
        <v>33</v>
      </c>
      <c r="D73" t="s">
        <v>60</v>
      </c>
      <c r="E73" s="4">
        <v>0</v>
      </c>
      <c r="F73" s="4">
        <v>155543332.87067562</v>
      </c>
      <c r="H73" s="2">
        <v>2550222.5225225221</v>
      </c>
      <c r="I73" s="2">
        <v>1088354.25</v>
      </c>
      <c r="J73" s="3">
        <v>142.91608901299887</v>
      </c>
      <c r="K73" s="6">
        <v>2.3431915872267894</v>
      </c>
      <c r="L73" s="3">
        <v>60.992063044295364</v>
      </c>
      <c r="M73" s="53">
        <v>0.56527793182384389</v>
      </c>
      <c r="N73" s="53">
        <v>0.27659182312017533</v>
      </c>
      <c r="O73" s="4">
        <v>3605016.008445946</v>
      </c>
      <c r="P73" s="5">
        <v>2.3176924024402173E-2</v>
      </c>
    </row>
    <row r="74" spans="1:46" x14ac:dyDescent="0.3">
      <c r="A74" t="str">
        <f t="shared" si="16"/>
        <v>202302 &amp; Segm Valeur &gt; Gros acheteurs</v>
      </c>
      <c r="B74">
        <v>202302</v>
      </c>
      <c r="C74" t="s">
        <v>33</v>
      </c>
      <c r="D74" t="s">
        <v>60</v>
      </c>
      <c r="E74" s="4">
        <v>0</v>
      </c>
      <c r="F74" s="4">
        <v>131606693.88090087</v>
      </c>
      <c r="H74" s="2">
        <v>2316018.6936936933</v>
      </c>
      <c r="I74" s="2">
        <v>1069335.75</v>
      </c>
      <c r="J74" s="3">
        <v>123.07331339188919</v>
      </c>
      <c r="K74" s="6">
        <v>2.1658479983426098</v>
      </c>
      <c r="L74" s="3">
        <v>56.824538696191809</v>
      </c>
      <c r="M74" s="53">
        <v>0.56953449834105319</v>
      </c>
      <c r="N74" s="53">
        <v>0.28455641199479736</v>
      </c>
      <c r="O74" s="4">
        <v>3296931.8827252267</v>
      </c>
      <c r="P74" s="5">
        <v>2.5051399632520413E-2</v>
      </c>
    </row>
    <row r="75" spans="1:46" x14ac:dyDescent="0.3">
      <c r="A75" t="str">
        <f t="shared" si="16"/>
        <v>202407 &amp; Segm Valeur &gt; Gros acheteurs</v>
      </c>
      <c r="B75">
        <v>202407</v>
      </c>
      <c r="C75" t="s">
        <v>33</v>
      </c>
      <c r="D75" t="s">
        <v>60</v>
      </c>
      <c r="E75" s="4">
        <v>0</v>
      </c>
      <c r="F75" s="4">
        <v>166824887.24711728</v>
      </c>
      <c r="H75" s="2">
        <v>2848007.8828828828</v>
      </c>
      <c r="I75" s="2">
        <v>1177860.75</v>
      </c>
      <c r="J75" s="3">
        <v>141.63379435736974</v>
      </c>
      <c r="K75" s="6">
        <v>2.4179495605765644</v>
      </c>
      <c r="L75" s="3">
        <v>58.575992099519596</v>
      </c>
      <c r="M75" s="53">
        <v>0.58085983064222357</v>
      </c>
      <c r="N75" s="53">
        <v>0.28940119119376811</v>
      </c>
      <c r="O75" s="4">
        <v>2567637.971302026</v>
      </c>
      <c r="P75" s="5">
        <v>1.5391216584481129E-2</v>
      </c>
      <c r="V75" s="4">
        <v>0</v>
      </c>
      <c r="W75" s="4">
        <v>156905341.27306294</v>
      </c>
      <c r="Y75" s="2">
        <v>2652552.4774774774</v>
      </c>
      <c r="Z75" s="2">
        <v>1118953.5</v>
      </c>
      <c r="AA75" s="3">
        <v>140.22507751489491</v>
      </c>
      <c r="AB75" s="6">
        <v>2.3705654233866533</v>
      </c>
      <c r="AC75" s="3">
        <v>59.152587029032766</v>
      </c>
      <c r="AD75" s="4">
        <v>2218233.2784655397</v>
      </c>
      <c r="AE75" s="5">
        <v>1.4137398131049854E-2</v>
      </c>
      <c r="AL75" s="7">
        <v>6.3219938171456658E-2</v>
      </c>
      <c r="AN75" s="7">
        <v>7.3685782681019552E-2</v>
      </c>
      <c r="AO75" s="7">
        <v>5.2644949052842671E-2</v>
      </c>
      <c r="AP75" s="7">
        <v>1.0046112060984269E-2</v>
      </c>
      <c r="AQ75" s="7">
        <v>1.9988538060348837E-2</v>
      </c>
      <c r="AR75" s="7">
        <v>-9.7475860054974106E-3</v>
      </c>
      <c r="AS75" s="7">
        <v>0.1575148548299603</v>
      </c>
      <c r="AT75" s="8">
        <v>0.12538184534312755</v>
      </c>
    </row>
    <row r="76" spans="1:46" x14ac:dyDescent="0.3">
      <c r="A76" t="str">
        <f t="shared" si="16"/>
        <v>202403 &amp; Segm Valeur &gt; Gros acheteurs</v>
      </c>
      <c r="B76">
        <v>202403</v>
      </c>
      <c r="C76" t="s">
        <v>33</v>
      </c>
      <c r="D76" t="s">
        <v>60</v>
      </c>
      <c r="E76" s="4">
        <v>0</v>
      </c>
      <c r="F76" s="4">
        <v>170645745.78954962</v>
      </c>
      <c r="H76" s="2">
        <v>2871804.9549549548</v>
      </c>
      <c r="I76" s="2">
        <v>1178565</v>
      </c>
      <c r="J76" s="3">
        <v>144.79111953057287</v>
      </c>
      <c r="K76" s="6">
        <v>2.4366962831536272</v>
      </c>
      <c r="L76" s="3">
        <v>59.421077846920227</v>
      </c>
      <c r="M76" s="53">
        <v>0.59241299556219607</v>
      </c>
      <c r="N76" s="53">
        <v>0.29095628860481998</v>
      </c>
      <c r="O76" s="4">
        <v>4748047.7594594583</v>
      </c>
      <c r="P76" s="5">
        <v>2.7824003097709979E-2</v>
      </c>
      <c r="V76" s="4">
        <v>0</v>
      </c>
      <c r="W76" s="4">
        <v>152109061.96211705</v>
      </c>
      <c r="Y76" s="2">
        <v>2613673.6486486485</v>
      </c>
      <c r="Z76" s="2">
        <v>1074667.5</v>
      </c>
      <c r="AA76" s="3">
        <v>141.54058065598619</v>
      </c>
      <c r="AB76" s="6">
        <v>2.4320765712638082</v>
      </c>
      <c r="AC76" s="3">
        <v>58.19741957484333</v>
      </c>
      <c r="AD76" s="4">
        <v>4274243.2187162172</v>
      </c>
      <c r="AE76" s="5">
        <v>2.8099859164082697E-2</v>
      </c>
      <c r="AL76" s="7">
        <v>0.12186442798555386</v>
      </c>
      <c r="AN76" s="7">
        <v>9.8761873518435683E-2</v>
      </c>
      <c r="AO76" s="7">
        <v>9.6678740168470778E-2</v>
      </c>
      <c r="AP76" s="7">
        <v>2.2965419948976384E-2</v>
      </c>
      <c r="AQ76" s="7">
        <v>1.8994927809441453E-3</v>
      </c>
      <c r="AR76" s="7">
        <v>2.10259884547499E-2</v>
      </c>
      <c r="AS76" s="7">
        <v>0.11085109491863454</v>
      </c>
      <c r="AT76" s="8">
        <v>-2.7585606637271776E-2</v>
      </c>
    </row>
    <row r="77" spans="1:46" x14ac:dyDescent="0.3">
      <c r="A77" t="str">
        <f t="shared" si="16"/>
        <v>202402 &amp; Segm Valeur &gt; Gros acheteurs</v>
      </c>
      <c r="B77">
        <v>202402</v>
      </c>
      <c r="C77" t="s">
        <v>33</v>
      </c>
      <c r="D77" t="s">
        <v>60</v>
      </c>
      <c r="E77" s="4">
        <v>0</v>
      </c>
      <c r="F77" s="4">
        <v>152621157.75193688</v>
      </c>
      <c r="H77" s="2">
        <v>2652449.5495495494</v>
      </c>
      <c r="I77" s="2">
        <v>1177242.75</v>
      </c>
      <c r="J77" s="3">
        <v>129.64289459581457</v>
      </c>
      <c r="K77" s="6">
        <v>2.253103320916225</v>
      </c>
      <c r="L77" s="3">
        <v>57.539702415020741</v>
      </c>
      <c r="M77" s="53">
        <v>0.59036146015790536</v>
      </c>
      <c r="N77" s="53">
        <v>0.29733527483287336</v>
      </c>
      <c r="O77" s="4">
        <v>4476794.4714414421</v>
      </c>
      <c r="P77" s="5">
        <v>2.9332725143638404E-2</v>
      </c>
      <c r="V77" s="4">
        <v>0</v>
      </c>
      <c r="W77" s="4">
        <v>131606693.88090087</v>
      </c>
      <c r="Y77" s="2">
        <v>2316018.6936936933</v>
      </c>
      <c r="Z77" s="2">
        <v>1069335.75</v>
      </c>
      <c r="AA77" s="3">
        <v>123.07331339188919</v>
      </c>
      <c r="AB77" s="6">
        <v>2.1658479983426098</v>
      </c>
      <c r="AC77" s="3">
        <v>56.824538696191809</v>
      </c>
      <c r="AD77" s="4">
        <v>3296931.8827252267</v>
      </c>
      <c r="AE77" s="5">
        <v>2.5051399632520413E-2</v>
      </c>
      <c r="AL77" s="7">
        <v>0.15967625393016349</v>
      </c>
      <c r="AN77" s="7">
        <v>0.1452625821941449</v>
      </c>
      <c r="AO77" s="7">
        <v>0.10091030810482104</v>
      </c>
      <c r="AP77" s="7">
        <v>5.3379412830192985E-2</v>
      </c>
      <c r="AQ77" s="7">
        <v>4.0286909626338741E-2</v>
      </c>
      <c r="AR77" s="7">
        <v>1.2585473375375855E-2</v>
      </c>
      <c r="AS77" s="7">
        <v>0.3578668382256498</v>
      </c>
      <c r="AT77" s="8">
        <v>0.42813255111179904</v>
      </c>
    </row>
    <row r="78" spans="1:46" x14ac:dyDescent="0.3">
      <c r="A78" t="str">
        <f t="shared" si="16"/>
        <v>202401 &amp; Segm Valeur &gt; Gros acheteurs</v>
      </c>
      <c r="B78">
        <v>202401</v>
      </c>
      <c r="C78" t="s">
        <v>33</v>
      </c>
      <c r="D78" t="s">
        <v>60</v>
      </c>
      <c r="E78" s="4">
        <v>0</v>
      </c>
      <c r="F78" s="4">
        <v>157727656.61540541</v>
      </c>
      <c r="H78" s="2">
        <v>2693674.9999999995</v>
      </c>
      <c r="I78" s="2">
        <v>1158356.25</v>
      </c>
      <c r="J78" s="3">
        <v>136.16506719362494</v>
      </c>
      <c r="K78" s="6">
        <v>2.3254288134587262</v>
      </c>
      <c r="L78" s="3">
        <v>58.55482068750144</v>
      </c>
      <c r="M78" s="53">
        <v>0.58795348726115759</v>
      </c>
      <c r="N78" s="53">
        <v>0.29397321364841983</v>
      </c>
      <c r="O78" s="4">
        <v>7225475.4919144157</v>
      </c>
      <c r="P78" s="5">
        <v>4.5809819577378397E-2</v>
      </c>
      <c r="V78" s="4">
        <v>0</v>
      </c>
      <c r="W78" s="4">
        <v>139858245.83887386</v>
      </c>
      <c r="Y78" s="2">
        <v>2452806.9819819815</v>
      </c>
      <c r="Z78" s="2">
        <v>1056035.25</v>
      </c>
      <c r="AA78" s="3">
        <v>132.43709984006108</v>
      </c>
      <c r="AB78" s="6">
        <v>2.3226563525999548</v>
      </c>
      <c r="AC78" s="3">
        <v>57.019670469896468</v>
      </c>
      <c r="AD78" s="4">
        <v>5220393.3379954919</v>
      </c>
      <c r="AE78" s="5">
        <v>3.7326317849072248E-2</v>
      </c>
      <c r="AL78" s="7">
        <v>0.12776801731889531</v>
      </c>
      <c r="AN78" s="7">
        <v>9.8200967213239787E-2</v>
      </c>
      <c r="AO78" s="7">
        <v>9.6891652054228228E-2</v>
      </c>
      <c r="AP78" s="7">
        <v>2.8148965494306122E-2</v>
      </c>
      <c r="AQ78" s="7">
        <v>1.1936595164703245E-3</v>
      </c>
      <c r="AR78" s="7">
        <v>2.6923168881087367E-2</v>
      </c>
      <c r="AS78" s="7">
        <v>0.38408641343658378</v>
      </c>
      <c r="AT78" s="8">
        <v>0.84835017283061487</v>
      </c>
    </row>
    <row r="79" spans="1:46" x14ac:dyDescent="0.3">
      <c r="A79" t="str">
        <f t="shared" si="16"/>
        <v>202409 &amp; Segm Valeur &gt; Gros acheteurs</v>
      </c>
      <c r="B79">
        <v>202409</v>
      </c>
      <c r="C79" t="s">
        <v>33</v>
      </c>
      <c r="D79" t="s">
        <v>60</v>
      </c>
      <c r="E79" s="4">
        <v>0</v>
      </c>
      <c r="F79" s="4">
        <v>152882569.58306295</v>
      </c>
      <c r="H79" s="2">
        <v>2633515.0900900899</v>
      </c>
      <c r="I79" s="2">
        <v>1170975.75</v>
      </c>
      <c r="J79" s="3">
        <v>130.55997921653199</v>
      </c>
      <c r="K79" s="6">
        <v>2.2489919967088046</v>
      </c>
      <c r="L79" s="3">
        <v>58.052665108455102</v>
      </c>
      <c r="M79" s="53">
        <v>0.58162451222975675</v>
      </c>
      <c r="N79" s="53">
        <v>0.29054974216588103</v>
      </c>
      <c r="O79" s="4">
        <v>5789566.7893795082</v>
      </c>
      <c r="P79" s="5">
        <v>3.7869371277370938E-2</v>
      </c>
      <c r="V79" s="4">
        <v>0</v>
      </c>
      <c r="W79" s="4">
        <v>157466957.74752256</v>
      </c>
      <c r="Y79" s="2">
        <v>2675820.4954954954</v>
      </c>
      <c r="Z79" s="2">
        <v>1140834</v>
      </c>
      <c r="AA79" s="3">
        <v>138.02793197566217</v>
      </c>
      <c r="AB79" s="6">
        <v>2.3454950461640305</v>
      </c>
      <c r="AC79" s="3">
        <v>58.848102110214086</v>
      </c>
      <c r="AD79" s="4">
        <v>5011423.2262466252</v>
      </c>
      <c r="AE79" s="5">
        <v>3.1825236849255568E-2</v>
      </c>
      <c r="AL79" s="7">
        <v>-2.9113334187925832E-2</v>
      </c>
      <c r="AN79" s="7">
        <v>-1.5810255387692429E-2</v>
      </c>
      <c r="AO79" s="7">
        <v>2.6420802675937161E-2</v>
      </c>
      <c r="AP79" s="7">
        <v>-5.4104648618853335E-2</v>
      </c>
      <c r="AQ79" s="7">
        <v>-4.1144000543958947E-2</v>
      </c>
      <c r="AR79" s="7">
        <v>-1.3516782584920839E-2</v>
      </c>
      <c r="AS79" s="7">
        <v>0.15527396669622018</v>
      </c>
      <c r="AT79" s="8">
        <v>0.60441344281153686</v>
      </c>
    </row>
    <row r="80" spans="1:46" x14ac:dyDescent="0.3">
      <c r="A80" t="str">
        <f t="shared" si="16"/>
        <v>202411 &amp; Segm Valeur &gt; Gros acheteurs</v>
      </c>
      <c r="B80">
        <v>202411</v>
      </c>
      <c r="C80" t="s">
        <v>33</v>
      </c>
      <c r="D80" t="s">
        <v>60</v>
      </c>
      <c r="E80" s="4">
        <v>0</v>
      </c>
      <c r="F80" s="4">
        <v>174425071.7108559</v>
      </c>
      <c r="H80" s="2">
        <v>2849760.5855855853</v>
      </c>
      <c r="I80" s="2">
        <v>1201440.75</v>
      </c>
      <c r="J80" s="3">
        <v>145.17991978452196</v>
      </c>
      <c r="K80" s="6">
        <v>2.3719526623227867</v>
      </c>
      <c r="L80" s="3">
        <v>61.206921238618371</v>
      </c>
      <c r="M80" s="53">
        <v>0.59142014061067227</v>
      </c>
      <c r="N80" s="53">
        <v>0.29165395245187109</v>
      </c>
      <c r="O80" s="4">
        <v>9410612.0825675707</v>
      </c>
      <c r="P80" s="5">
        <v>5.395217551160033E-2</v>
      </c>
      <c r="V80" s="4">
        <v>0</v>
      </c>
      <c r="W80" s="4">
        <v>157912439.0936937</v>
      </c>
      <c r="Y80" s="2">
        <v>2615537.8378378376</v>
      </c>
      <c r="Z80" s="2">
        <v>1137892.5</v>
      </c>
      <c r="AA80" s="3">
        <v>138.7762368533879</v>
      </c>
      <c r="AB80" s="6">
        <v>2.2985807867068617</v>
      </c>
      <c r="AC80" s="3">
        <v>60.374748477825008</v>
      </c>
      <c r="AD80" s="4">
        <v>10679687.805872524</v>
      </c>
      <c r="AE80" s="5">
        <v>6.7630440433739211E-2</v>
      </c>
      <c r="AL80" s="7">
        <v>0.10456828297968856</v>
      </c>
      <c r="AN80" s="7">
        <v>8.9550510170164577E-2</v>
      </c>
      <c r="AO80" s="7">
        <v>5.5847323011620098E-2</v>
      </c>
      <c r="AP80" s="7">
        <v>4.6143944210703225E-2</v>
      </c>
      <c r="AQ80" s="7">
        <v>3.1920512013434044E-2</v>
      </c>
      <c r="AR80" s="7">
        <v>1.3783457186558934E-2</v>
      </c>
      <c r="AS80" s="7">
        <v>-0.11883078853738749</v>
      </c>
      <c r="AT80" s="8">
        <v>-1.3678264922138881</v>
      </c>
    </row>
    <row r="81" spans="1:46" x14ac:dyDescent="0.3">
      <c r="A81" t="str">
        <f t="shared" si="16"/>
        <v>202406 &amp; Segm Valeur &gt; Gros acheteurs</v>
      </c>
      <c r="B81">
        <v>202406</v>
      </c>
      <c r="C81" t="s">
        <v>33</v>
      </c>
      <c r="D81" t="s">
        <v>60</v>
      </c>
      <c r="E81" s="4">
        <v>0</v>
      </c>
      <c r="F81" s="4">
        <v>163969560.37387395</v>
      </c>
      <c r="H81" s="2">
        <v>2755258.7837837837</v>
      </c>
      <c r="I81" s="2">
        <v>1180922.25</v>
      </c>
      <c r="J81" s="3">
        <v>138.84873485436822</v>
      </c>
      <c r="K81" s="6">
        <v>2.3331415626928731</v>
      </c>
      <c r="L81" s="3">
        <v>59.5114917476809</v>
      </c>
      <c r="M81" s="53">
        <v>0.59011253600650859</v>
      </c>
      <c r="N81" s="53">
        <v>0.29247888459388022</v>
      </c>
      <c r="O81" s="4">
        <v>5369667.8442792809</v>
      </c>
      <c r="P81" s="5">
        <v>3.2747955364615687E-2</v>
      </c>
      <c r="V81" s="4">
        <v>0</v>
      </c>
      <c r="W81" s="4">
        <v>161660012.98018017</v>
      </c>
      <c r="Y81" s="2">
        <v>2682731.9819819815</v>
      </c>
      <c r="Z81" s="2">
        <v>1113037.5</v>
      </c>
      <c r="AA81" s="3">
        <v>145.24219802134266</v>
      </c>
      <c r="AB81" s="6">
        <v>2.4102799609015704</v>
      </c>
      <c r="AC81" s="3">
        <v>60.259472085149184</v>
      </c>
      <c r="AD81" s="4">
        <v>4028786.5596396397</v>
      </c>
      <c r="AE81" s="5">
        <v>2.4921354918693323E-2</v>
      </c>
      <c r="AL81" s="7">
        <v>1.428644815200486E-2</v>
      </c>
      <c r="AN81" s="7">
        <v>2.7034680426115454E-2</v>
      </c>
      <c r="AO81" s="7">
        <v>6.0990532663993902E-2</v>
      </c>
      <c r="AP81" s="7">
        <v>-4.401932258030794E-2</v>
      </c>
      <c r="AQ81" s="7">
        <v>-3.2003916333372073E-2</v>
      </c>
      <c r="AR81" s="7">
        <v>-1.2412659978357499E-2</v>
      </c>
      <c r="AS81" s="7">
        <v>0.33282509877107458</v>
      </c>
      <c r="AT81" s="8">
        <v>0.78266004459223648</v>
      </c>
    </row>
    <row r="82" spans="1:46" x14ac:dyDescent="0.3">
      <c r="A82" t="str">
        <f t="shared" si="16"/>
        <v>202410 &amp; Segm Valeur &gt; Gros acheteurs</v>
      </c>
      <c r="B82">
        <v>202410</v>
      </c>
      <c r="C82" t="s">
        <v>33</v>
      </c>
      <c r="D82" t="s">
        <v>60</v>
      </c>
      <c r="E82" s="4">
        <v>0</v>
      </c>
      <c r="F82" s="4">
        <v>169201808.84990984</v>
      </c>
      <c r="H82" s="2">
        <v>2909186.9369369368</v>
      </c>
      <c r="I82" s="2">
        <v>1194237.75</v>
      </c>
      <c r="J82" s="3">
        <v>141.68184588865142</v>
      </c>
      <c r="K82" s="6">
        <v>2.4360199105554456</v>
      </c>
      <c r="L82" s="3">
        <v>58.161201915770079</v>
      </c>
      <c r="M82" s="53">
        <v>0.5871069157491271</v>
      </c>
      <c r="N82" s="53">
        <v>0.28941036199082687</v>
      </c>
      <c r="O82" s="4">
        <v>5482557.4236261267</v>
      </c>
      <c r="P82" s="5">
        <v>3.2402475250660111E-2</v>
      </c>
      <c r="V82" s="4">
        <v>0</v>
      </c>
      <c r="W82" s="4">
        <v>153764687.0262613</v>
      </c>
      <c r="Y82" s="2">
        <v>2677417.5675675673</v>
      </c>
      <c r="Z82" s="2">
        <v>1138636.5</v>
      </c>
      <c r="AA82" s="3">
        <v>135.04282273250621</v>
      </c>
      <c r="AB82" s="6">
        <v>2.3514243286312775</v>
      </c>
      <c r="AC82" s="3">
        <v>57.430222647697214</v>
      </c>
      <c r="AD82" s="4">
        <v>5249841.2304249974</v>
      </c>
      <c r="AE82" s="5">
        <v>3.4142047383924914E-2</v>
      </c>
      <c r="AL82" s="7">
        <v>0.10039445416366677</v>
      </c>
      <c r="AN82" s="7">
        <v>8.6564521043287268E-2</v>
      </c>
      <c r="AO82" s="7">
        <v>4.8831431277672976E-2</v>
      </c>
      <c r="AP82" s="7">
        <v>4.9162354739102465E-2</v>
      </c>
      <c r="AQ82" s="7">
        <v>3.5976314820817423E-2</v>
      </c>
      <c r="AR82" s="7">
        <v>1.27281287512504E-2</v>
      </c>
      <c r="AS82" s="7">
        <v>4.4328234509730002E-2</v>
      </c>
      <c r="AT82" s="8">
        <v>-0.17395721332648037</v>
      </c>
    </row>
    <row r="83" spans="1:46" x14ac:dyDescent="0.3">
      <c r="A83" t="str">
        <f t="shared" si="16"/>
        <v>202405 &amp; Segm Valeur &gt; Gros acheteurs</v>
      </c>
      <c r="B83">
        <v>202405</v>
      </c>
      <c r="C83" t="s">
        <v>33</v>
      </c>
      <c r="D83" t="s">
        <v>60</v>
      </c>
      <c r="E83" s="4">
        <v>0</v>
      </c>
      <c r="F83" s="4">
        <v>168034916.44175673</v>
      </c>
      <c r="H83" s="2">
        <v>2784493.9189189188</v>
      </c>
      <c r="I83" s="2">
        <v>1177452</v>
      </c>
      <c r="J83" s="3">
        <v>142.71062976814062</v>
      </c>
      <c r="K83" s="6">
        <v>2.3648470756505735</v>
      </c>
      <c r="L83" s="3">
        <v>60.346663104581808</v>
      </c>
      <c r="M83" s="53">
        <v>0.58997739582583408</v>
      </c>
      <c r="N83" s="53">
        <v>0.29073335756827373</v>
      </c>
      <c r="O83" s="4">
        <v>3755946.3578653126</v>
      </c>
      <c r="P83" s="5">
        <v>2.235217797229171E-2</v>
      </c>
      <c r="V83" s="4">
        <v>0</v>
      </c>
      <c r="W83" s="4">
        <v>154478163.64108115</v>
      </c>
      <c r="Y83" s="2">
        <v>2551076.1261261259</v>
      </c>
      <c r="Z83" s="2">
        <v>1097256.75</v>
      </c>
      <c r="AA83" s="3">
        <v>140.78579479331628</v>
      </c>
      <c r="AB83" s="6">
        <v>2.3249582434795921</v>
      </c>
      <c r="AC83" s="3">
        <v>60.554117558091129</v>
      </c>
      <c r="AD83" s="4">
        <v>3117210.8535135137</v>
      </c>
      <c r="AE83" s="5">
        <v>2.0178974037755443E-2</v>
      </c>
      <c r="AL83" s="7">
        <v>8.7758376207615285E-2</v>
      </c>
      <c r="AN83" s="7">
        <v>9.1497776331451064E-2</v>
      </c>
      <c r="AO83" s="7">
        <v>7.3087041843215017E-2</v>
      </c>
      <c r="AP83" s="7">
        <v>1.3672082312353506E-2</v>
      </c>
      <c r="AQ83" s="7">
        <v>1.7156795087761578E-2</v>
      </c>
      <c r="AR83" s="7">
        <v>-3.4259347155096709E-3</v>
      </c>
      <c r="AS83" s="7">
        <v>0.20490609534220594</v>
      </c>
      <c r="AT83" s="8">
        <v>0.21732039345362664</v>
      </c>
    </row>
    <row r="84" spans="1:46" x14ac:dyDescent="0.3">
      <c r="A84" t="str">
        <f t="shared" si="16"/>
        <v>202408 &amp; Segm Valeur &gt; Gros acheteurs</v>
      </c>
      <c r="B84">
        <v>202408</v>
      </c>
      <c r="C84" t="s">
        <v>33</v>
      </c>
      <c r="D84" t="s">
        <v>60</v>
      </c>
      <c r="E84" s="4">
        <v>0</v>
      </c>
      <c r="F84" s="4">
        <v>172672145.25500008</v>
      </c>
      <c r="H84" s="2">
        <v>2866370.9459459456</v>
      </c>
      <c r="I84" s="2">
        <v>1174693.5</v>
      </c>
      <c r="J84" s="3">
        <v>146.9933606127897</v>
      </c>
      <c r="K84" s="6">
        <v>2.4401011378252671</v>
      </c>
      <c r="L84" s="3">
        <v>60.240683606990608</v>
      </c>
      <c r="M84" s="53">
        <v>0.57561148633334858</v>
      </c>
      <c r="N84" s="53">
        <v>0.28668186721055255</v>
      </c>
      <c r="O84" s="4">
        <v>4786472.4634436937</v>
      </c>
      <c r="P84" s="5">
        <v>2.7720003457275003E-2</v>
      </c>
      <c r="V84" s="4">
        <v>0</v>
      </c>
      <c r="W84" s="4">
        <v>156952411.41481984</v>
      </c>
      <c r="Y84" s="2">
        <v>2658162.6126126125</v>
      </c>
      <c r="Z84" s="2">
        <v>1118163</v>
      </c>
      <c r="AA84" s="3">
        <v>140.36630742997204</v>
      </c>
      <c r="AB84" s="6">
        <v>2.3772586041682766</v>
      </c>
      <c r="AC84" s="3">
        <v>59.045451422009492</v>
      </c>
      <c r="AD84" s="4">
        <v>4354184.4720495492</v>
      </c>
      <c r="AE84" s="5">
        <v>2.7742068011568099E-2</v>
      </c>
      <c r="AL84" s="7">
        <v>0.10015605175146702</v>
      </c>
      <c r="AN84" s="7">
        <v>7.8327914306451252E-2</v>
      </c>
      <c r="AO84" s="7">
        <v>5.0556582537608641E-2</v>
      </c>
      <c r="AP84" s="7">
        <v>4.7212563357655224E-2</v>
      </c>
      <c r="AQ84" s="7">
        <v>2.6434874837261146E-2</v>
      </c>
      <c r="AR84" s="7">
        <v>2.0242578491585395E-2</v>
      </c>
      <c r="AS84" s="7">
        <v>9.928104658153436E-2</v>
      </c>
      <c r="AT84" s="8">
        <v>-2.2064554293096256E-3</v>
      </c>
    </row>
    <row r="85" spans="1:46" x14ac:dyDescent="0.3">
      <c r="A85" t="str">
        <f t="shared" si="16"/>
        <v>202312 &amp; Segm Valeur &gt; Gros acheteurs</v>
      </c>
      <c r="B85">
        <v>202312</v>
      </c>
      <c r="C85" t="s">
        <v>33</v>
      </c>
      <c r="D85" t="s">
        <v>60</v>
      </c>
      <c r="E85" s="4">
        <v>0</v>
      </c>
      <c r="F85" s="4">
        <v>197071455.50144139</v>
      </c>
      <c r="H85" s="2">
        <v>3060259.0090090088</v>
      </c>
      <c r="I85" s="2">
        <v>1141687.5</v>
      </c>
      <c r="J85" s="3">
        <v>172.61418339207654</v>
      </c>
      <c r="K85" s="6">
        <v>2.680469926323104</v>
      </c>
      <c r="L85" s="3">
        <v>64.396985654249647</v>
      </c>
      <c r="M85" s="53">
        <v>0.57897477862013769</v>
      </c>
      <c r="N85" s="53">
        <v>0.2782422510744017</v>
      </c>
      <c r="O85" s="4">
        <v>7908800.9522747686</v>
      </c>
      <c r="P85" s="5">
        <v>4.0131641247338957E-2</v>
      </c>
      <c r="V85" s="4">
        <v>0</v>
      </c>
      <c r="W85" s="4">
        <v>179279056.99081078</v>
      </c>
      <c r="Y85" s="2">
        <v>2838858.1081081079</v>
      </c>
      <c r="Z85" s="2">
        <v>1046936.25</v>
      </c>
      <c r="AA85" s="3">
        <v>171.24161761598262</v>
      </c>
      <c r="AB85" s="6">
        <v>2.7115864104505962</v>
      </c>
      <c r="AC85" s="3">
        <v>63.151820261382213</v>
      </c>
      <c r="AD85" s="4">
        <v>6194191.3904279275</v>
      </c>
      <c r="AE85" s="5">
        <v>3.4550557630082919E-2</v>
      </c>
      <c r="AL85" s="7">
        <v>9.9244154946344754E-2</v>
      </c>
      <c r="AN85" s="7">
        <v>7.7989421263624958E-2</v>
      </c>
      <c r="AO85" s="7">
        <v>9.0503361594366449E-2</v>
      </c>
      <c r="AP85" s="7">
        <v>8.0153749725253576E-3</v>
      </c>
      <c r="AQ85" s="7">
        <v>-1.1475379876358605E-2</v>
      </c>
      <c r="AR85" s="7">
        <v>1.9717015087035605E-2</v>
      </c>
      <c r="AS85" s="7">
        <v>0.27680926432084085</v>
      </c>
      <c r="AT85" s="8">
        <v>0.55810836172560385</v>
      </c>
    </row>
    <row r="86" spans="1:46" x14ac:dyDescent="0.3">
      <c r="A86" t="str">
        <f t="shared" si="16"/>
        <v>202404 &amp; Segm Valeur &gt; Gros acheteurs</v>
      </c>
      <c r="B86">
        <v>202404</v>
      </c>
      <c r="C86" t="s">
        <v>33</v>
      </c>
      <c r="D86" t="s">
        <v>60</v>
      </c>
      <c r="E86" s="4">
        <v>0</v>
      </c>
      <c r="F86" s="4">
        <v>159434762.24027026</v>
      </c>
      <c r="H86" s="2">
        <v>2732805.1801801799</v>
      </c>
      <c r="I86" s="2">
        <v>1176317.25</v>
      </c>
      <c r="J86" s="3">
        <v>135.53721348579242</v>
      </c>
      <c r="K86" s="6">
        <v>2.323187201565037</v>
      </c>
      <c r="L86" s="3">
        <v>58.341064118503454</v>
      </c>
      <c r="M86" s="53">
        <v>0.58623908707248107</v>
      </c>
      <c r="N86" s="53">
        <v>0.29171273821509164</v>
      </c>
      <c r="O86" s="4">
        <v>4949333.5023619393</v>
      </c>
      <c r="P86" s="5">
        <v>3.104300111730483E-2</v>
      </c>
      <c r="V86" s="4">
        <v>0</v>
      </c>
      <c r="W86" s="4">
        <v>155543332.87067562</v>
      </c>
      <c r="Y86" s="2">
        <v>2550222.5225225221</v>
      </c>
      <c r="Z86" s="2">
        <v>1088354.25</v>
      </c>
      <c r="AA86" s="3">
        <v>142.91608901299887</v>
      </c>
      <c r="AB86" s="6">
        <v>2.3431915872267894</v>
      </c>
      <c r="AC86" s="3">
        <v>60.992063044295364</v>
      </c>
      <c r="AD86" s="4">
        <v>3605016.008445946</v>
      </c>
      <c r="AE86" s="5">
        <v>2.3176924024402173E-2</v>
      </c>
      <c r="AL86" s="7">
        <v>2.5018297459461714E-2</v>
      </c>
      <c r="AN86" s="7">
        <v>7.1594794589555422E-2</v>
      </c>
      <c r="AO86" s="7">
        <v>8.0822030143218537E-2</v>
      </c>
      <c r="AP86" s="7">
        <v>-5.1630824619999904E-2</v>
      </c>
      <c r="AQ86" s="7">
        <v>-8.537238598329E-3</v>
      </c>
      <c r="AR86" s="7">
        <v>-4.3464654144697912E-2</v>
      </c>
      <c r="AS86" s="7">
        <v>0.37290194849800495</v>
      </c>
      <c r="AT86" s="8">
        <v>0.78660770929026569</v>
      </c>
    </row>
    <row r="87" spans="1:46" x14ac:dyDescent="0.3">
      <c r="A87" t="str">
        <f t="shared" si="16"/>
        <v>202412 &amp; Segm Valeur &gt; Gros acheteurs</v>
      </c>
      <c r="B87">
        <v>202412</v>
      </c>
      <c r="C87" t="s">
        <v>33</v>
      </c>
      <c r="D87" t="s">
        <v>60</v>
      </c>
      <c r="E87" s="4">
        <v>0</v>
      </c>
      <c r="F87" s="4">
        <v>196952879.99918905</v>
      </c>
      <c r="H87" s="2">
        <v>3151074.3243243243</v>
      </c>
      <c r="I87" s="2">
        <v>1204110.75</v>
      </c>
      <c r="J87" s="3">
        <v>163.56708051912091</v>
      </c>
      <c r="K87" s="6">
        <v>2.616930647221881</v>
      </c>
      <c r="L87" s="3">
        <v>62.503406688581073</v>
      </c>
      <c r="M87" s="53">
        <v>0.58121960268658179</v>
      </c>
      <c r="N87" s="53">
        <v>0.28282684327155699</v>
      </c>
      <c r="O87" s="4">
        <v>6201040.3923268011</v>
      </c>
      <c r="P87" s="5">
        <v>3.1484893200608863E-2</v>
      </c>
      <c r="V87" s="4">
        <v>0</v>
      </c>
      <c r="W87" s="4">
        <v>197071455.50144139</v>
      </c>
      <c r="Y87" s="2">
        <v>3060259.0090090088</v>
      </c>
      <c r="Z87" s="2">
        <v>1141687.5</v>
      </c>
      <c r="AA87" s="3">
        <v>172.61418339207654</v>
      </c>
      <c r="AB87" s="6">
        <v>2.680469926323104</v>
      </c>
      <c r="AC87" s="3">
        <v>64.396985654249647</v>
      </c>
      <c r="AD87" s="4">
        <v>7908800.9522747686</v>
      </c>
      <c r="AE87" s="5">
        <v>4.0131641247338957E-2</v>
      </c>
      <c r="AL87" s="7">
        <v>-6.0168785961733917E-4</v>
      </c>
      <c r="AN87" s="7">
        <v>2.9675695765609023E-2</v>
      </c>
      <c r="AO87" s="7">
        <v>5.4676301527344373E-2</v>
      </c>
      <c r="AP87" s="7">
        <v>-5.2412279774287196E-2</v>
      </c>
      <c r="AQ87" s="7">
        <v>-2.3704529745790515E-2</v>
      </c>
      <c r="AR87" s="7">
        <v>-2.940477642595396E-2</v>
      </c>
      <c r="AS87" s="7">
        <v>-0.21593166527433882</v>
      </c>
      <c r="AT87" s="8">
        <v>-0.8646748046730095</v>
      </c>
    </row>
    <row r="88" spans="1:46" x14ac:dyDescent="0.3">
      <c r="A88" t="str">
        <f t="shared" si="16"/>
        <v>202306 &amp; Segm Valeur &gt; Moyens acheteurs</v>
      </c>
      <c r="B88">
        <v>202306</v>
      </c>
      <c r="C88" t="s">
        <v>33</v>
      </c>
      <c r="D88" t="s">
        <v>63</v>
      </c>
      <c r="E88" s="4">
        <v>0</v>
      </c>
      <c r="F88" s="4">
        <v>81938167.160360396</v>
      </c>
      <c r="H88" s="2">
        <v>1980358.5585585583</v>
      </c>
      <c r="I88" s="2">
        <v>1398645.75</v>
      </c>
      <c r="J88" s="3">
        <v>58.583931749951979</v>
      </c>
      <c r="K88" s="6">
        <v>1.4159114690467964</v>
      </c>
      <c r="L88" s="3">
        <v>41.375420024947729</v>
      </c>
      <c r="M88" s="53">
        <v>0.29487525639745565</v>
      </c>
      <c r="N88" s="53">
        <v>0.35748268955135359</v>
      </c>
      <c r="O88" s="4">
        <v>1674143.2798873871</v>
      </c>
      <c r="P88" s="5">
        <v>2.0431788236255487E-2</v>
      </c>
    </row>
    <row r="89" spans="1:46" x14ac:dyDescent="0.3">
      <c r="A89" t="str">
        <f t="shared" si="16"/>
        <v>202310 &amp; Segm Valeur &gt; Moyens acheteurs</v>
      </c>
      <c r="B89">
        <v>202310</v>
      </c>
      <c r="C89" t="s">
        <v>33</v>
      </c>
      <c r="D89" t="s">
        <v>63</v>
      </c>
      <c r="E89" s="4">
        <v>0</v>
      </c>
      <c r="F89" s="4">
        <v>78809906.716396391</v>
      </c>
      <c r="H89" s="2">
        <v>1976049.5495495494</v>
      </c>
      <c r="I89" s="2">
        <v>1418402.25</v>
      </c>
      <c r="J89" s="3">
        <v>55.562451847771953</v>
      </c>
      <c r="K89" s="6">
        <v>1.3931517307939616</v>
      </c>
      <c r="L89" s="3">
        <v>39.882555948235968</v>
      </c>
      <c r="M89" s="53">
        <v>0.29750674872121979</v>
      </c>
      <c r="N89" s="53">
        <v>0.3610288389272161</v>
      </c>
      <c r="O89" s="4">
        <v>2106411.3174549555</v>
      </c>
      <c r="P89" s="5">
        <v>2.6727747883715194E-2</v>
      </c>
    </row>
    <row r="90" spans="1:46" x14ac:dyDescent="0.3">
      <c r="A90" t="str">
        <f t="shared" si="16"/>
        <v>202301 &amp; Segm Valeur &gt; Moyens acheteurs</v>
      </c>
      <c r="B90">
        <v>202301</v>
      </c>
      <c r="C90" t="s">
        <v>33</v>
      </c>
      <c r="D90" t="s">
        <v>63</v>
      </c>
      <c r="E90" s="4">
        <v>0</v>
      </c>
      <c r="F90" s="4">
        <v>75542980.428333357</v>
      </c>
      <c r="H90" s="2">
        <v>1896636.036036036</v>
      </c>
      <c r="I90" s="2">
        <v>1379464.5</v>
      </c>
      <c r="J90" s="3">
        <v>54.762540412118874</v>
      </c>
      <c r="K90" s="6">
        <v>1.3749074630307891</v>
      </c>
      <c r="L90" s="3">
        <v>39.82998266036217</v>
      </c>
      <c r="M90" s="53">
        <v>0.30640120721456682</v>
      </c>
      <c r="N90" s="53">
        <v>0.36580474274938179</v>
      </c>
      <c r="O90" s="4">
        <v>2440174.0936486511</v>
      </c>
      <c r="P90" s="5">
        <v>3.2301797993840239E-2</v>
      </c>
    </row>
    <row r="91" spans="1:46" x14ac:dyDescent="0.3">
      <c r="A91" t="str">
        <f t="shared" si="16"/>
        <v>202303 &amp; Segm Valeur &gt; Moyens acheteurs</v>
      </c>
      <c r="B91">
        <v>202303</v>
      </c>
      <c r="C91" t="s">
        <v>33</v>
      </c>
      <c r="D91" t="s">
        <v>63</v>
      </c>
      <c r="E91" s="4">
        <v>0</v>
      </c>
      <c r="F91" s="4">
        <v>79601137.496261269</v>
      </c>
      <c r="H91" s="2">
        <v>1989515.9909909908</v>
      </c>
      <c r="I91" s="2">
        <v>1386775.5</v>
      </c>
      <c r="J91" s="3">
        <v>57.400161378868653</v>
      </c>
      <c r="K91" s="6">
        <v>1.4346345107704821</v>
      </c>
      <c r="L91" s="3">
        <v>40.010302936349575</v>
      </c>
      <c r="M91" s="53">
        <v>0.29977036877340196</v>
      </c>
      <c r="N91" s="53">
        <v>0.35844544159414371</v>
      </c>
      <c r="O91" s="4">
        <v>2026408.7626576596</v>
      </c>
      <c r="P91" s="5">
        <v>2.5457032730880718E-2</v>
      </c>
    </row>
    <row r="92" spans="1:46" x14ac:dyDescent="0.3">
      <c r="A92" t="str">
        <f t="shared" si="16"/>
        <v>202302 &amp; Segm Valeur &gt; Moyens acheteurs</v>
      </c>
      <c r="B92">
        <v>202302</v>
      </c>
      <c r="C92" t="s">
        <v>33</v>
      </c>
      <c r="D92" t="s">
        <v>63</v>
      </c>
      <c r="E92" s="4">
        <v>0</v>
      </c>
      <c r="F92" s="4">
        <v>69999835.674684748</v>
      </c>
      <c r="H92" s="2">
        <v>1764863.2882882881</v>
      </c>
      <c r="I92" s="2">
        <v>1368450.75</v>
      </c>
      <c r="J92" s="3">
        <v>51.152615959825191</v>
      </c>
      <c r="K92" s="6">
        <v>1.2896797990634943</v>
      </c>
      <c r="L92" s="3">
        <v>39.663035737219303</v>
      </c>
      <c r="M92" s="53">
        <v>0.30292776240558222</v>
      </c>
      <c r="N92" s="53">
        <v>0.36415263906737377</v>
      </c>
      <c r="O92" s="4">
        <v>1621060.1416637395</v>
      </c>
      <c r="P92" s="5">
        <v>2.3158056387409372E-2</v>
      </c>
    </row>
    <row r="93" spans="1:46" x14ac:dyDescent="0.3">
      <c r="A93" t="str">
        <f t="shared" si="16"/>
        <v>202309 &amp; Segm Valeur &gt; Moyens acheteurs</v>
      </c>
      <c r="B93">
        <v>202309</v>
      </c>
      <c r="C93" t="s">
        <v>33</v>
      </c>
      <c r="D93" t="s">
        <v>63</v>
      </c>
      <c r="E93" s="4">
        <v>0</v>
      </c>
      <c r="F93" s="4">
        <v>78625491.574324369</v>
      </c>
      <c r="H93" s="2">
        <v>1948608.3333333333</v>
      </c>
      <c r="I93" s="2">
        <v>1415949</v>
      </c>
      <c r="J93" s="3">
        <v>55.528477066846598</v>
      </c>
      <c r="K93" s="6">
        <v>1.3761853946246181</v>
      </c>
      <c r="L93" s="3">
        <v>40.349561391757895</v>
      </c>
      <c r="M93" s="53">
        <v>0.29299374892840224</v>
      </c>
      <c r="N93" s="53">
        <v>0.3623817322317146</v>
      </c>
      <c r="O93" s="4">
        <v>2083201.7114159898</v>
      </c>
      <c r="P93" s="5">
        <v>2.6495245622048001E-2</v>
      </c>
    </row>
    <row r="94" spans="1:46" x14ac:dyDescent="0.3">
      <c r="A94" t="str">
        <f t="shared" si="16"/>
        <v>202304 &amp; Segm Valeur &gt; Moyens acheteurs</v>
      </c>
      <c r="B94">
        <v>202304</v>
      </c>
      <c r="C94" t="s">
        <v>33</v>
      </c>
      <c r="D94" t="s">
        <v>63</v>
      </c>
      <c r="E94" s="4">
        <v>0</v>
      </c>
      <c r="F94" s="4">
        <v>82436280.268288344</v>
      </c>
      <c r="H94" s="2">
        <v>1946939.1891891891</v>
      </c>
      <c r="I94" s="2">
        <v>1400137.5</v>
      </c>
      <c r="J94" s="3">
        <v>58.877274745007789</v>
      </c>
      <c r="K94" s="6">
        <v>1.3905342790898674</v>
      </c>
      <c r="L94" s="3">
        <v>42.34147667581712</v>
      </c>
      <c r="M94" s="53">
        <v>0.29959117602329655</v>
      </c>
      <c r="N94" s="53">
        <v>0.35582769465357855</v>
      </c>
      <c r="O94" s="4">
        <v>1588259.326599098</v>
      </c>
      <c r="P94" s="5">
        <v>1.9266508889412746E-2</v>
      </c>
    </row>
    <row r="95" spans="1:46" x14ac:dyDescent="0.3">
      <c r="A95" t="str">
        <f t="shared" si="16"/>
        <v>202212 &amp; Segm Valeur &gt; Moyens acheteurs</v>
      </c>
      <c r="B95">
        <v>202212</v>
      </c>
      <c r="C95" t="s">
        <v>33</v>
      </c>
      <c r="D95" t="s">
        <v>63</v>
      </c>
      <c r="E95" s="4">
        <v>0</v>
      </c>
      <c r="F95" s="4">
        <v>99328039.976711795</v>
      </c>
      <c r="H95" s="2">
        <v>2208142.1171171167</v>
      </c>
      <c r="I95" s="2">
        <v>1415667.75</v>
      </c>
      <c r="J95" s="3">
        <v>70.163384012040822</v>
      </c>
      <c r="K95" s="6">
        <v>1.5597883875768992</v>
      </c>
      <c r="L95" s="3">
        <v>44.982630061144555</v>
      </c>
      <c r="M95" s="53">
        <v>0.31040433979026039</v>
      </c>
      <c r="N95" s="53">
        <v>0.35990156060044448</v>
      </c>
      <c r="O95" s="4">
        <v>2893775.7187612634</v>
      </c>
      <c r="P95" s="5">
        <v>2.9133522814300282E-2</v>
      </c>
    </row>
    <row r="96" spans="1:46" x14ac:dyDescent="0.3">
      <c r="A96" t="str">
        <f t="shared" si="16"/>
        <v>202311 &amp; Segm Valeur &gt; Moyens acheteurs</v>
      </c>
      <c r="B96">
        <v>202311</v>
      </c>
      <c r="C96" t="s">
        <v>33</v>
      </c>
      <c r="D96" t="s">
        <v>63</v>
      </c>
      <c r="E96" s="4">
        <v>0</v>
      </c>
      <c r="F96" s="4">
        <v>79896886.766261265</v>
      </c>
      <c r="H96" s="2">
        <v>1916673.6486486485</v>
      </c>
      <c r="I96" s="2">
        <v>1414512</v>
      </c>
      <c r="J96" s="3">
        <v>56.483710824836599</v>
      </c>
      <c r="K96" s="6">
        <v>1.3550069908552551</v>
      </c>
      <c r="L96" s="3">
        <v>41.685180376217204</v>
      </c>
      <c r="M96" s="53">
        <v>0.29430198692841619</v>
      </c>
      <c r="N96" s="53">
        <v>0.36026030209652143</v>
      </c>
      <c r="O96" s="4">
        <v>4252291.9837749992</v>
      </c>
      <c r="P96" s="5">
        <v>5.3222248774412201E-2</v>
      </c>
    </row>
    <row r="97" spans="1:46" x14ac:dyDescent="0.3">
      <c r="A97" t="str">
        <f t="shared" si="16"/>
        <v>202308 &amp; Segm Valeur &gt; Moyens acheteurs</v>
      </c>
      <c r="B97">
        <v>202308</v>
      </c>
      <c r="C97" t="s">
        <v>33</v>
      </c>
      <c r="D97" t="s">
        <v>63</v>
      </c>
      <c r="E97" s="4">
        <v>0</v>
      </c>
      <c r="F97" s="4">
        <v>83938095.430675626</v>
      </c>
      <c r="H97" s="2">
        <v>2012858.3333333333</v>
      </c>
      <c r="I97" s="2">
        <v>1419756</v>
      </c>
      <c r="J97" s="3">
        <v>59.121493714888771</v>
      </c>
      <c r="K97" s="6">
        <v>1.4177494818358458</v>
      </c>
      <c r="L97" s="3">
        <v>41.700945387285394</v>
      </c>
      <c r="M97" s="53">
        <v>0.30407412344730689</v>
      </c>
      <c r="N97" s="53">
        <v>0.36266035631373111</v>
      </c>
      <c r="O97" s="4">
        <v>1917277.4031756751</v>
      </c>
      <c r="P97" s="5">
        <v>2.2841564290187549E-2</v>
      </c>
    </row>
    <row r="98" spans="1:46" x14ac:dyDescent="0.3">
      <c r="A98" t="str">
        <f t="shared" si="16"/>
        <v>202305 &amp; Segm Valeur &gt; Moyens acheteurs</v>
      </c>
      <c r="B98">
        <v>202305</v>
      </c>
      <c r="C98" t="s">
        <v>33</v>
      </c>
      <c r="D98" t="s">
        <v>63</v>
      </c>
      <c r="E98" s="4">
        <v>0</v>
      </c>
      <c r="F98" s="4">
        <v>80194415.17288287</v>
      </c>
      <c r="H98" s="2">
        <v>1922315.5405405404</v>
      </c>
      <c r="I98" s="2">
        <v>1401030.75</v>
      </c>
      <c r="J98" s="3">
        <v>57.239582480886213</v>
      </c>
      <c r="K98" s="6">
        <v>1.3720723406966908</v>
      </c>
      <c r="L98" s="3">
        <v>41.717612682012039</v>
      </c>
      <c r="M98" s="53">
        <v>0.29872669266190871</v>
      </c>
      <c r="N98" s="53">
        <v>0.36022956224198255</v>
      </c>
      <c r="O98" s="4">
        <v>1450018.9195720721</v>
      </c>
      <c r="P98" s="5">
        <v>1.8081295517226804E-2</v>
      </c>
    </row>
    <row r="99" spans="1:46" x14ac:dyDescent="0.3">
      <c r="A99" t="str">
        <f t="shared" si="16"/>
        <v>202307 &amp; Segm Valeur &gt; Moyens acheteurs</v>
      </c>
      <c r="B99">
        <v>202307</v>
      </c>
      <c r="C99" t="s">
        <v>33</v>
      </c>
      <c r="D99" t="s">
        <v>63</v>
      </c>
      <c r="E99" s="4">
        <v>0</v>
      </c>
      <c r="F99" s="4">
        <v>83342534.959594563</v>
      </c>
      <c r="H99" s="2">
        <v>1994517.1171171169</v>
      </c>
      <c r="I99" s="2">
        <v>1412875.5</v>
      </c>
      <c r="J99" s="3">
        <v>58.987883192535058</v>
      </c>
      <c r="K99" s="6">
        <v>1.4116722365963008</v>
      </c>
      <c r="L99" s="3">
        <v>41.785820860769647</v>
      </c>
      <c r="M99" s="53">
        <v>0.30226402711377093</v>
      </c>
      <c r="N99" s="53">
        <v>0.36015583656813893</v>
      </c>
      <c r="O99" s="4">
        <v>1043155.6575842338</v>
      </c>
      <c r="P99" s="5">
        <v>1.2516485826714628E-2</v>
      </c>
    </row>
    <row r="100" spans="1:46" x14ac:dyDescent="0.3">
      <c r="A100" t="str">
        <f t="shared" si="16"/>
        <v>202407 &amp; Segm Valeur &gt; Moyens acheteurs</v>
      </c>
      <c r="B100">
        <v>202407</v>
      </c>
      <c r="C100" t="s">
        <v>33</v>
      </c>
      <c r="D100" t="s">
        <v>63</v>
      </c>
      <c r="E100" s="4">
        <v>0</v>
      </c>
      <c r="F100" s="4">
        <v>86296344.833558649</v>
      </c>
      <c r="H100" s="2">
        <v>2117860.1351351351</v>
      </c>
      <c r="I100" s="2">
        <v>1472603.25</v>
      </c>
      <c r="J100" s="3">
        <v>58.601218511203648</v>
      </c>
      <c r="K100" s="6">
        <v>1.4381742910964885</v>
      </c>
      <c r="L100" s="3">
        <v>40.746951794364975</v>
      </c>
      <c r="M100" s="53">
        <v>0.30047123706915602</v>
      </c>
      <c r="N100" s="53">
        <v>0.36181962486296815</v>
      </c>
      <c r="O100" s="4">
        <v>1174463.5808583335</v>
      </c>
      <c r="P100" s="5">
        <v>1.3609656157784471E-2</v>
      </c>
      <c r="V100" s="4">
        <v>0</v>
      </c>
      <c r="W100" s="4">
        <v>83342534.959594563</v>
      </c>
      <c r="Y100" s="2">
        <v>1994517.1171171169</v>
      </c>
      <c r="Z100" s="2">
        <v>1412875.5</v>
      </c>
      <c r="AA100" s="3">
        <v>58.987883192535058</v>
      </c>
      <c r="AB100" s="6">
        <v>1.4116722365963008</v>
      </c>
      <c r="AC100" s="3">
        <v>41.785820860769647</v>
      </c>
      <c r="AD100" s="4">
        <v>1043155.6575842338</v>
      </c>
      <c r="AE100" s="5">
        <v>1.2516485826714628E-2</v>
      </c>
      <c r="AL100" s="7">
        <v>3.5441805020643091E-2</v>
      </c>
      <c r="AN100" s="7">
        <v>6.1841042605991214E-2</v>
      </c>
      <c r="AO100" s="7">
        <v>4.2273894621288388E-2</v>
      </c>
      <c r="AP100" s="7">
        <v>-6.5549848613714046E-3</v>
      </c>
      <c r="AQ100" s="7">
        <v>1.87735182524289E-2</v>
      </c>
      <c r="AR100" s="7">
        <v>-2.4861760401122313E-2</v>
      </c>
      <c r="AS100" s="7">
        <v>0.12587567571476899</v>
      </c>
      <c r="AT100" s="8">
        <v>0.10931703310698426</v>
      </c>
    </row>
    <row r="101" spans="1:46" x14ac:dyDescent="0.3">
      <c r="A101" t="str">
        <f t="shared" si="16"/>
        <v>202403 &amp; Segm Valeur &gt; Moyens acheteurs</v>
      </c>
      <c r="B101">
        <v>202403</v>
      </c>
      <c r="C101" t="s">
        <v>33</v>
      </c>
      <c r="D101" t="s">
        <v>63</v>
      </c>
      <c r="E101" s="4">
        <v>0</v>
      </c>
      <c r="F101" s="4">
        <v>82358148.106126115</v>
      </c>
      <c r="H101" s="2">
        <v>2042387.3873873872</v>
      </c>
      <c r="I101" s="2">
        <v>1428552</v>
      </c>
      <c r="J101" s="3">
        <v>57.651487734521467</v>
      </c>
      <c r="K101" s="6">
        <v>1.4296906149635347</v>
      </c>
      <c r="L101" s="3">
        <v>40.324450011159875</v>
      </c>
      <c r="M101" s="53">
        <v>0.28591417267838559</v>
      </c>
      <c r="N101" s="53">
        <v>0.35267141650990208</v>
      </c>
      <c r="O101" s="4">
        <v>2028690.7143918932</v>
      </c>
      <c r="P101" s="5">
        <v>2.4632544089963473E-2</v>
      </c>
      <c r="V101" s="4">
        <v>0</v>
      </c>
      <c r="W101" s="4">
        <v>79601137.496261269</v>
      </c>
      <c r="Y101" s="2">
        <v>1989515.9909909908</v>
      </c>
      <c r="Z101" s="2">
        <v>1386775.5</v>
      </c>
      <c r="AA101" s="3">
        <v>57.400161378868653</v>
      </c>
      <c r="AB101" s="6">
        <v>1.4346345107704821</v>
      </c>
      <c r="AC101" s="3">
        <v>40.010302936349575</v>
      </c>
      <c r="AD101" s="4">
        <v>2026408.7626576596</v>
      </c>
      <c r="AE101" s="5">
        <v>2.5457032730880718E-2</v>
      </c>
      <c r="AL101" s="7">
        <v>3.4635316737707811E-2</v>
      </c>
      <c r="AN101" s="7">
        <v>2.6575004491449672E-2</v>
      </c>
      <c r="AO101" s="7">
        <v>3.0124919282176421E-2</v>
      </c>
      <c r="AP101" s="7">
        <v>4.3784956281558429E-3</v>
      </c>
      <c r="AQ101" s="7">
        <v>-3.4461012681845649E-3</v>
      </c>
      <c r="AR101" s="7">
        <v>7.8516544928455279E-3</v>
      </c>
      <c r="AS101" s="7">
        <v>1.1261063297223206E-3</v>
      </c>
      <c r="AT101" s="8">
        <v>-8.2448864091724458E-2</v>
      </c>
    </row>
    <row r="102" spans="1:46" x14ac:dyDescent="0.3">
      <c r="A102" t="str">
        <f t="shared" si="16"/>
        <v>202411 &amp; Segm Valeur &gt; Moyens acheteurs</v>
      </c>
      <c r="B102">
        <v>202411</v>
      </c>
      <c r="C102" t="s">
        <v>33</v>
      </c>
      <c r="D102" t="s">
        <v>63</v>
      </c>
      <c r="E102" s="4">
        <v>0</v>
      </c>
      <c r="F102" s="4">
        <v>84058401.545405492</v>
      </c>
      <c r="H102" s="2">
        <v>2021853.6036036033</v>
      </c>
      <c r="I102" s="2">
        <v>1451299.5</v>
      </c>
      <c r="J102" s="3">
        <v>57.919403641636677</v>
      </c>
      <c r="K102" s="6">
        <v>1.3931332599533062</v>
      </c>
      <c r="L102" s="3">
        <v>41.574919863429265</v>
      </c>
      <c r="M102" s="53">
        <v>0.28501540044600121</v>
      </c>
      <c r="N102" s="53">
        <v>0.35230803963193713</v>
      </c>
      <c r="O102" s="4">
        <v>3626421.1403378351</v>
      </c>
      <c r="P102" s="5">
        <v>4.3141685705015052E-2</v>
      </c>
      <c r="V102" s="4">
        <v>0</v>
      </c>
      <c r="W102" s="4">
        <v>79896886.766261265</v>
      </c>
      <c r="Y102" s="2">
        <v>1916673.6486486485</v>
      </c>
      <c r="Z102" s="2">
        <v>1414512</v>
      </c>
      <c r="AA102" s="3">
        <v>56.483710824836599</v>
      </c>
      <c r="AB102" s="6">
        <v>1.3550069908552551</v>
      </c>
      <c r="AC102" s="3">
        <v>41.685180376217204</v>
      </c>
      <c r="AD102" s="4">
        <v>4252291.9837749992</v>
      </c>
      <c r="AE102" s="5">
        <v>5.3222248774412201E-2</v>
      </c>
      <c r="AL102" s="7">
        <v>5.208606927725179E-2</v>
      </c>
      <c r="AN102" s="7">
        <v>5.4876298335458484E-2</v>
      </c>
      <c r="AO102" s="7">
        <v>2.6007202483966152E-2</v>
      </c>
      <c r="AP102" s="7">
        <v>2.541782039165863E-2</v>
      </c>
      <c r="AQ102" s="7">
        <v>2.8137322800073861E-2</v>
      </c>
      <c r="AR102" s="7">
        <v>-2.645077022405018E-3</v>
      </c>
      <c r="AS102" s="7">
        <v>-0.14718435277380537</v>
      </c>
      <c r="AT102" s="8">
        <v>-1.0080563069397148</v>
      </c>
    </row>
    <row r="103" spans="1:46" x14ac:dyDescent="0.3">
      <c r="A103" t="str">
        <f t="shared" si="16"/>
        <v>202401 &amp; Segm Valeur &gt; Moyens acheteurs</v>
      </c>
      <c r="B103">
        <v>202401</v>
      </c>
      <c r="C103" t="s">
        <v>33</v>
      </c>
      <c r="D103" t="s">
        <v>63</v>
      </c>
      <c r="E103" s="4">
        <v>0</v>
      </c>
      <c r="F103" s="4">
        <v>78174482.779594615</v>
      </c>
      <c r="H103" s="2">
        <v>1945464.8648648646</v>
      </c>
      <c r="I103" s="2">
        <v>1413042</v>
      </c>
      <c r="J103" s="3">
        <v>55.323537997875938</v>
      </c>
      <c r="K103" s="6">
        <v>1.376791960086724</v>
      </c>
      <c r="L103" s="3">
        <v>40.182932208865537</v>
      </c>
      <c r="M103" s="53">
        <v>0.29140710482482829</v>
      </c>
      <c r="N103" s="53">
        <v>0.3586085867453907</v>
      </c>
      <c r="O103" s="4">
        <v>2951512.1709234216</v>
      </c>
      <c r="P103" s="5">
        <v>3.7755442261702257E-2</v>
      </c>
      <c r="V103" s="4">
        <v>0</v>
      </c>
      <c r="W103" s="4">
        <v>75542980.428333357</v>
      </c>
      <c r="Y103" s="2">
        <v>1896636.036036036</v>
      </c>
      <c r="Z103" s="2">
        <v>1379464.5</v>
      </c>
      <c r="AA103" s="3">
        <v>54.762540412118874</v>
      </c>
      <c r="AB103" s="6">
        <v>1.3749074630307891</v>
      </c>
      <c r="AC103" s="3">
        <v>39.82998266036217</v>
      </c>
      <c r="AD103" s="4">
        <v>2440174.0936486511</v>
      </c>
      <c r="AE103" s="5">
        <v>3.2301797993840239E-2</v>
      </c>
      <c r="AL103" s="7">
        <v>3.4834505288783735E-2</v>
      </c>
      <c r="AN103" s="7">
        <v>2.5744965244296925E-2</v>
      </c>
      <c r="AO103" s="7">
        <v>2.4340967092665311E-2</v>
      </c>
      <c r="AP103" s="7">
        <v>1.0244184830273451E-2</v>
      </c>
      <c r="AQ103" s="7">
        <v>1.3706355566509565E-3</v>
      </c>
      <c r="AR103" s="7">
        <v>8.861403518877653E-3</v>
      </c>
      <c r="AS103" s="7">
        <v>0.20954983441783703</v>
      </c>
      <c r="AT103" s="8">
        <v>0.54536442678620178</v>
      </c>
    </row>
    <row r="104" spans="1:46" x14ac:dyDescent="0.3">
      <c r="A104" t="str">
        <f t="shared" si="16"/>
        <v>202312 &amp; Segm Valeur &gt; Moyens acheteurs</v>
      </c>
      <c r="B104">
        <v>202312</v>
      </c>
      <c r="C104" t="s">
        <v>33</v>
      </c>
      <c r="D104" t="s">
        <v>63</v>
      </c>
      <c r="E104" s="4">
        <v>0</v>
      </c>
      <c r="F104" s="4">
        <v>100956541.59576568</v>
      </c>
      <c r="H104" s="2">
        <v>2240225.4504504502</v>
      </c>
      <c r="I104" s="2">
        <v>1456295.25</v>
      </c>
      <c r="J104" s="3">
        <v>69.324226385937664</v>
      </c>
      <c r="K104" s="6">
        <v>1.5383044409781945</v>
      </c>
      <c r="L104" s="3">
        <v>45.065348925245885</v>
      </c>
      <c r="M104" s="53">
        <v>0.29659948048760232</v>
      </c>
      <c r="N104" s="53">
        <v>0.35491574409718818</v>
      </c>
      <c r="O104" s="4">
        <v>3428204.2527927943</v>
      </c>
      <c r="P104" s="5">
        <v>3.3957227521912062E-2</v>
      </c>
      <c r="V104" s="4">
        <v>0</v>
      </c>
      <c r="W104" s="4">
        <v>99328039.976711795</v>
      </c>
      <c r="Y104" s="2">
        <v>2208142.1171171167</v>
      </c>
      <c r="Z104" s="2">
        <v>1415667.75</v>
      </c>
      <c r="AA104" s="3">
        <v>70.163384012040822</v>
      </c>
      <c r="AB104" s="6">
        <v>1.5597883875768992</v>
      </c>
      <c r="AC104" s="3">
        <v>44.982630061144555</v>
      </c>
      <c r="AD104" s="4">
        <v>2893775.7187612634</v>
      </c>
      <c r="AE104" s="5">
        <v>2.9133522814300282E-2</v>
      </c>
      <c r="AL104" s="7">
        <v>1.6395185281373736E-2</v>
      </c>
      <c r="AN104" s="7">
        <v>1.4529559979237439E-2</v>
      </c>
      <c r="AO104" s="7">
        <v>2.8698471092528655E-2</v>
      </c>
      <c r="AP104" s="7">
        <v>-1.1960050643497366E-2</v>
      </c>
      <c r="AQ104" s="7">
        <v>-1.3773629019048883E-2</v>
      </c>
      <c r="AR104" s="7">
        <v>1.8389067955539851E-3</v>
      </c>
      <c r="AS104" s="7">
        <v>0.18468208526551022</v>
      </c>
      <c r="AT104" s="8">
        <v>0.48237047076117801</v>
      </c>
    </row>
    <row r="105" spans="1:46" x14ac:dyDescent="0.3">
      <c r="A105" t="str">
        <f t="shared" si="16"/>
        <v>202406 &amp; Segm Valeur &gt; Moyens acheteurs</v>
      </c>
      <c r="B105">
        <v>202406</v>
      </c>
      <c r="C105" t="s">
        <v>33</v>
      </c>
      <c r="D105" t="s">
        <v>63</v>
      </c>
      <c r="E105" s="4">
        <v>0</v>
      </c>
      <c r="F105" s="4">
        <v>79972836.027612597</v>
      </c>
      <c r="H105" s="2">
        <v>1975153.3783783782</v>
      </c>
      <c r="I105" s="2">
        <v>1430649.75</v>
      </c>
      <c r="J105" s="3">
        <v>55.899660995021733</v>
      </c>
      <c r="K105" s="6">
        <v>1.3805988351644967</v>
      </c>
      <c r="L105" s="3">
        <v>40.489430797152139</v>
      </c>
      <c r="M105" s="53">
        <v>0.28781545167456962</v>
      </c>
      <c r="N105" s="53">
        <v>0.35432886722602913</v>
      </c>
      <c r="O105" s="4">
        <v>2087587.1267117108</v>
      </c>
      <c r="P105" s="5">
        <v>2.6103702587099948E-2</v>
      </c>
      <c r="V105" s="4">
        <v>0</v>
      </c>
      <c r="W105" s="4">
        <v>81938167.160360396</v>
      </c>
      <c r="Y105" s="2">
        <v>1980358.5585585583</v>
      </c>
      <c r="Z105" s="2">
        <v>1398645.75</v>
      </c>
      <c r="AA105" s="3">
        <v>58.583931749951979</v>
      </c>
      <c r="AB105" s="6">
        <v>1.4159114690467964</v>
      </c>
      <c r="AC105" s="3">
        <v>41.375420024947729</v>
      </c>
      <c r="AD105" s="4">
        <v>1674143.2798873871</v>
      </c>
      <c r="AE105" s="5">
        <v>2.0431788236255487E-2</v>
      </c>
      <c r="AL105" s="7">
        <v>-2.3985539350684593E-2</v>
      </c>
      <c r="AN105" s="7">
        <v>-2.6284029009215892E-3</v>
      </c>
      <c r="AO105" s="7">
        <v>2.2882134378916286E-2</v>
      </c>
      <c r="AP105" s="7">
        <v>-4.5819231907944569E-2</v>
      </c>
      <c r="AQ105" s="7">
        <v>-2.4939860050764762E-2</v>
      </c>
      <c r="AR105" s="7">
        <v>-2.1413419543810708E-2</v>
      </c>
      <c r="AS105" s="7">
        <v>0.24695846036077307</v>
      </c>
      <c r="AT105" s="8">
        <v>0.56719143508444614</v>
      </c>
    </row>
    <row r="106" spans="1:46" x14ac:dyDescent="0.3">
      <c r="A106" t="str">
        <f t="shared" si="16"/>
        <v>202402 &amp; Segm Valeur &gt; Moyens acheteurs</v>
      </c>
      <c r="B106">
        <v>202402</v>
      </c>
      <c r="C106" t="s">
        <v>33</v>
      </c>
      <c r="D106" t="s">
        <v>63</v>
      </c>
      <c r="E106" s="4">
        <v>0</v>
      </c>
      <c r="F106" s="4">
        <v>74086033.670180202</v>
      </c>
      <c r="H106" s="2">
        <v>1871328.1531531529</v>
      </c>
      <c r="I106" s="2">
        <v>1404905.25</v>
      </c>
      <c r="J106" s="3">
        <v>52.733829324205459</v>
      </c>
      <c r="K106" s="6">
        <v>1.3319959856034085</v>
      </c>
      <c r="L106" s="3">
        <v>39.590081272141724</v>
      </c>
      <c r="M106" s="53">
        <v>0.28657585657896939</v>
      </c>
      <c r="N106" s="53">
        <v>0.35483581327886426</v>
      </c>
      <c r="O106" s="4">
        <v>1874568.9238288279</v>
      </c>
      <c r="P106" s="5">
        <v>2.5302595252623791E-2</v>
      </c>
      <c r="V106" s="4">
        <v>0</v>
      </c>
      <c r="W106" s="4">
        <v>69999835.674684748</v>
      </c>
      <c r="Y106" s="2">
        <v>1764863.2882882881</v>
      </c>
      <c r="Z106" s="2">
        <v>1368450.75</v>
      </c>
      <c r="AA106" s="3">
        <v>51.152615959825191</v>
      </c>
      <c r="AB106" s="6">
        <v>1.2896797990634943</v>
      </c>
      <c r="AC106" s="3">
        <v>39.663035737219303</v>
      </c>
      <c r="AD106" s="4">
        <v>1621060.1416637395</v>
      </c>
      <c r="AE106" s="5">
        <v>2.3158056387409372E-2</v>
      </c>
      <c r="AL106" s="7">
        <v>5.8374394112659544E-2</v>
      </c>
      <c r="AN106" s="7">
        <v>6.0324709325288994E-2</v>
      </c>
      <c r="AO106" s="7">
        <v>2.6639248800148563E-2</v>
      </c>
      <c r="AP106" s="7">
        <v>3.0911681342399744E-2</v>
      </c>
      <c r="AQ106" s="7">
        <v>3.2811389750108777E-2</v>
      </c>
      <c r="AR106" s="7">
        <v>-1.8393565626425579E-3</v>
      </c>
      <c r="AS106" s="7">
        <v>0.15638456319387717</v>
      </c>
      <c r="AT106" s="8">
        <v>0.21445388652144187</v>
      </c>
    </row>
    <row r="107" spans="1:46" x14ac:dyDescent="0.3">
      <c r="A107" t="str">
        <f t="shared" si="16"/>
        <v>202409 &amp; Segm Valeur &gt; Moyens acheteurs</v>
      </c>
      <c r="B107">
        <v>202409</v>
      </c>
      <c r="C107" t="s">
        <v>33</v>
      </c>
      <c r="D107" t="s">
        <v>63</v>
      </c>
      <c r="E107" s="4">
        <v>0</v>
      </c>
      <c r="F107" s="4">
        <v>77531183.999054015</v>
      </c>
      <c r="H107" s="2">
        <v>1951476.8018018017</v>
      </c>
      <c r="I107" s="2">
        <v>1448696.25</v>
      </c>
      <c r="J107" s="3">
        <v>53.517902044030286</v>
      </c>
      <c r="K107" s="6">
        <v>1.3470572604863178</v>
      </c>
      <c r="L107" s="3">
        <v>39.729493031876856</v>
      </c>
      <c r="M107" s="53">
        <v>0.29495865486186229</v>
      </c>
      <c r="N107" s="53">
        <v>0.359459469518629</v>
      </c>
      <c r="O107" s="4">
        <v>2356920.6119968472</v>
      </c>
      <c r="P107" s="5">
        <v>3.0399646831468546E-2</v>
      </c>
      <c r="V107" s="4">
        <v>0</v>
      </c>
      <c r="W107" s="4">
        <v>78625491.574324369</v>
      </c>
      <c r="Y107" s="2">
        <v>1948608.3333333333</v>
      </c>
      <c r="Z107" s="2">
        <v>1415949</v>
      </c>
      <c r="AA107" s="3">
        <v>55.528477066846598</v>
      </c>
      <c r="AB107" s="6">
        <v>1.3761853946246181</v>
      </c>
      <c r="AC107" s="3">
        <v>40.349561391757895</v>
      </c>
      <c r="AD107" s="4">
        <v>2083201.7114159898</v>
      </c>
      <c r="AE107" s="5">
        <v>2.6495245622048001E-2</v>
      </c>
      <c r="AL107" s="7">
        <v>-1.391797435359643E-2</v>
      </c>
      <c r="AN107" s="7">
        <v>1.472060043775647E-3</v>
      </c>
      <c r="AO107" s="7">
        <v>2.312742196223172E-2</v>
      </c>
      <c r="AP107" s="7">
        <v>-3.6207998652581952E-2</v>
      </c>
      <c r="AQ107" s="7">
        <v>-2.1165850365855388E-2</v>
      </c>
      <c r="AR107" s="7">
        <v>-1.5367412643243705E-2</v>
      </c>
      <c r="AS107" s="7">
        <v>0.13139337351773084</v>
      </c>
      <c r="AT107" s="8">
        <v>0.39044012094205449</v>
      </c>
    </row>
    <row r="108" spans="1:46" x14ac:dyDescent="0.3">
      <c r="A108" t="str">
        <f t="shared" si="16"/>
        <v>202405 &amp; Segm Valeur &gt; Moyens acheteurs</v>
      </c>
      <c r="B108">
        <v>202405</v>
      </c>
      <c r="C108" t="s">
        <v>33</v>
      </c>
      <c r="D108" t="s">
        <v>63</v>
      </c>
      <c r="E108" s="4">
        <v>0</v>
      </c>
      <c r="F108" s="4">
        <v>81884608.260495469</v>
      </c>
      <c r="H108" s="2">
        <v>1993273.1981981981</v>
      </c>
      <c r="I108" s="2">
        <v>1435356</v>
      </c>
      <c r="J108" s="3">
        <v>57.048292033819813</v>
      </c>
      <c r="K108" s="6">
        <v>1.3886960434890008</v>
      </c>
      <c r="L108" s="3">
        <v>41.080474234296808</v>
      </c>
      <c r="M108" s="53">
        <v>0.28750017533701488</v>
      </c>
      <c r="N108" s="53">
        <v>0.35441433636850345</v>
      </c>
      <c r="O108" s="4">
        <v>1633385.7076067564</v>
      </c>
      <c r="P108" s="5">
        <v>1.994740821633471E-2</v>
      </c>
      <c r="V108" s="4">
        <v>0</v>
      </c>
      <c r="W108" s="4">
        <v>80194415.17288287</v>
      </c>
      <c r="Y108" s="2">
        <v>1922315.5405405404</v>
      </c>
      <c r="Z108" s="2">
        <v>1401030.75</v>
      </c>
      <c r="AA108" s="3">
        <v>57.239582480886213</v>
      </c>
      <c r="AB108" s="6">
        <v>1.3720723406966908</v>
      </c>
      <c r="AC108" s="3">
        <v>41.717612682012039</v>
      </c>
      <c r="AD108" s="4">
        <v>1450018.9195720721</v>
      </c>
      <c r="AE108" s="5">
        <v>1.8081295517226804E-2</v>
      </c>
      <c r="AL108" s="7">
        <v>2.1076194445322383E-2</v>
      </c>
      <c r="AN108" s="7">
        <v>3.6912596377234097E-2</v>
      </c>
      <c r="AO108" s="7">
        <v>2.4499997591059364E-2</v>
      </c>
      <c r="AP108" s="7">
        <v>-3.3419259675815383E-3</v>
      </c>
      <c r="AQ108" s="7">
        <v>1.2115762630904081E-2</v>
      </c>
      <c r="AR108" s="7">
        <v>-1.5272648810749301E-2</v>
      </c>
      <c r="AS108" s="7">
        <v>0.12645820379281614</v>
      </c>
      <c r="AT108" s="8">
        <v>0.18661126991079066</v>
      </c>
    </row>
    <row r="109" spans="1:46" x14ac:dyDescent="0.3">
      <c r="A109" t="str">
        <f t="shared" si="16"/>
        <v>202404 &amp; Segm Valeur &gt; Moyens acheteurs</v>
      </c>
      <c r="B109">
        <v>202404</v>
      </c>
      <c r="C109" t="s">
        <v>33</v>
      </c>
      <c r="D109" t="s">
        <v>63</v>
      </c>
      <c r="E109" s="4">
        <v>0</v>
      </c>
      <c r="F109" s="4">
        <v>78323249.432162151</v>
      </c>
      <c r="H109" s="2">
        <v>1960949.7747747747</v>
      </c>
      <c r="I109" s="2">
        <v>1423579.5</v>
      </c>
      <c r="J109" s="3">
        <v>55.018528597919648</v>
      </c>
      <c r="K109" s="6">
        <v>1.3774782334072488</v>
      </c>
      <c r="L109" s="3">
        <v>39.941486742646426</v>
      </c>
      <c r="M109" s="53">
        <v>0.28799334347464783</v>
      </c>
      <c r="N109" s="53">
        <v>0.35303084606798979</v>
      </c>
      <c r="O109" s="4">
        <v>1905917.7722972971</v>
      </c>
      <c r="P109" s="5">
        <v>2.4333997709684699E-2</v>
      </c>
      <c r="V109" s="4">
        <v>0</v>
      </c>
      <c r="W109" s="4">
        <v>82436280.268288344</v>
      </c>
      <c r="Y109" s="2">
        <v>1946939.1891891891</v>
      </c>
      <c r="Z109" s="2">
        <v>1400137.5</v>
      </c>
      <c r="AA109" s="3">
        <v>58.877274745007789</v>
      </c>
      <c r="AB109" s="6">
        <v>1.3905342790898674</v>
      </c>
      <c r="AC109" s="3">
        <v>42.34147667581712</v>
      </c>
      <c r="AD109" s="4">
        <v>1588259.326599098</v>
      </c>
      <c r="AE109" s="5">
        <v>1.9266508889412746E-2</v>
      </c>
      <c r="AL109" s="7">
        <v>-4.9893454953818361E-2</v>
      </c>
      <c r="AN109" s="7">
        <v>7.1962111931294093E-3</v>
      </c>
      <c r="AO109" s="7">
        <v>1.674264134772474E-2</v>
      </c>
      <c r="AP109" s="7">
        <v>-6.5538803618204522E-2</v>
      </c>
      <c r="AQ109" s="7">
        <v>-9.3892296500335259E-3</v>
      </c>
      <c r="AR109" s="7">
        <v>-5.6681772143800102E-2</v>
      </c>
      <c r="AS109" s="7">
        <v>0.20000414313850978</v>
      </c>
      <c r="AT109" s="8">
        <v>0.50674888202719526</v>
      </c>
    </row>
    <row r="110" spans="1:46" x14ac:dyDescent="0.3">
      <c r="A110" t="str">
        <f t="shared" si="16"/>
        <v>202410 &amp; Segm Valeur &gt; Moyens acheteurs</v>
      </c>
      <c r="B110">
        <v>202410</v>
      </c>
      <c r="C110" t="s">
        <v>33</v>
      </c>
      <c r="D110" t="s">
        <v>63</v>
      </c>
      <c r="E110" s="4">
        <v>0</v>
      </c>
      <c r="F110" s="4">
        <v>83715287.147837833</v>
      </c>
      <c r="H110" s="2">
        <v>2104363.9639639636</v>
      </c>
      <c r="I110" s="2">
        <v>1460534.25</v>
      </c>
      <c r="J110" s="3">
        <v>57.318263606510996</v>
      </c>
      <c r="K110" s="6">
        <v>1.4408179499823188</v>
      </c>
      <c r="L110" s="3">
        <v>39.781752862819609</v>
      </c>
      <c r="M110" s="53">
        <v>0.29048048819630451</v>
      </c>
      <c r="N110" s="53">
        <v>0.3539443850209063</v>
      </c>
      <c r="O110" s="4">
        <v>2358485.6159234243</v>
      </c>
      <c r="P110" s="5">
        <v>2.81726993512957E-2</v>
      </c>
      <c r="V110" s="4">
        <v>0</v>
      </c>
      <c r="W110" s="4">
        <v>78809906.716396391</v>
      </c>
      <c r="Y110" s="2">
        <v>1976049.5495495494</v>
      </c>
      <c r="Z110" s="2">
        <v>1418402.25</v>
      </c>
      <c r="AA110" s="3">
        <v>55.562451847771953</v>
      </c>
      <c r="AB110" s="6">
        <v>1.3931517307939616</v>
      </c>
      <c r="AC110" s="3">
        <v>39.882555948235968</v>
      </c>
      <c r="AD110" s="4">
        <v>2106411.3174549555</v>
      </c>
      <c r="AE110" s="5">
        <v>2.6727747883715194E-2</v>
      </c>
      <c r="AL110" s="7">
        <v>6.2243195504517512E-2</v>
      </c>
      <c r="AN110" s="7">
        <v>6.4934816256841499E-2</v>
      </c>
      <c r="AO110" s="7">
        <v>2.9703844589925144E-2</v>
      </c>
      <c r="AP110" s="7">
        <v>3.1600688960767176E-2</v>
      </c>
      <c r="AQ110" s="7">
        <v>3.4214664587318255E-2</v>
      </c>
      <c r="AR110" s="7">
        <v>-2.527498125927341E-3</v>
      </c>
      <c r="AS110" s="7">
        <v>0.11967002663707405</v>
      </c>
      <c r="AT110" s="8">
        <v>0.14449514675805053</v>
      </c>
    </row>
    <row r="111" spans="1:46" x14ac:dyDescent="0.3">
      <c r="A111" t="str">
        <f t="shared" si="16"/>
        <v>202408 &amp; Segm Valeur &gt; Moyens acheteurs</v>
      </c>
      <c r="B111">
        <v>202408</v>
      </c>
      <c r="C111" t="s">
        <v>33</v>
      </c>
      <c r="D111" t="s">
        <v>63</v>
      </c>
      <c r="E111" s="4">
        <v>0</v>
      </c>
      <c r="F111" s="4">
        <v>89272316.669279262</v>
      </c>
      <c r="H111" s="2">
        <v>2124017.7927927924</v>
      </c>
      <c r="I111" s="2">
        <v>1461172.5</v>
      </c>
      <c r="J111" s="3">
        <v>61.096356979945398</v>
      </c>
      <c r="K111" s="6">
        <v>1.4536393155447371</v>
      </c>
      <c r="L111" s="3">
        <v>42.029928832139582</v>
      </c>
      <c r="M111" s="53">
        <v>0.29759386385417724</v>
      </c>
      <c r="N111" s="53">
        <v>0.35659655954230707</v>
      </c>
      <c r="O111" s="4">
        <v>2038404.0225405388</v>
      </c>
      <c r="P111" s="5">
        <v>2.2833551302270643E-2</v>
      </c>
      <c r="V111" s="4">
        <v>0</v>
      </c>
      <c r="W111" s="4">
        <v>83938095.430675626</v>
      </c>
      <c r="Y111" s="2">
        <v>2012858.3333333333</v>
      </c>
      <c r="Z111" s="2">
        <v>1419756</v>
      </c>
      <c r="AA111" s="3">
        <v>59.121493714888771</v>
      </c>
      <c r="AB111" s="6">
        <v>1.4177494818358458</v>
      </c>
      <c r="AC111" s="3">
        <v>41.700945387285394</v>
      </c>
      <c r="AD111" s="4">
        <v>1917277.4031756751</v>
      </c>
      <c r="AE111" s="5">
        <v>2.2841564290187549E-2</v>
      </c>
      <c r="AL111" s="7">
        <v>6.3549467154745853E-2</v>
      </c>
      <c r="AN111" s="7">
        <v>5.5224681051138313E-2</v>
      </c>
      <c r="AO111" s="7">
        <v>2.9171561874012264E-2</v>
      </c>
      <c r="AP111" s="7">
        <v>3.3403473778594428E-2</v>
      </c>
      <c r="AQ111" s="7">
        <v>2.5314651261531429E-2</v>
      </c>
      <c r="AR111" s="7">
        <v>7.8891123881927872E-3</v>
      </c>
      <c r="AS111" s="7">
        <v>6.3176366218177904E-2</v>
      </c>
      <c r="AT111" s="8">
        <v>-8.0129879169062168E-4</v>
      </c>
    </row>
    <row r="112" spans="1:46" x14ac:dyDescent="0.3">
      <c r="A112" t="str">
        <f t="shared" si="16"/>
        <v>202412 &amp; Segm Valeur &gt; Moyens acheteurs</v>
      </c>
      <c r="B112">
        <v>202412</v>
      </c>
      <c r="C112" t="s">
        <v>33</v>
      </c>
      <c r="D112" t="s">
        <v>63</v>
      </c>
      <c r="E112" s="4">
        <v>0</v>
      </c>
      <c r="F112" s="4">
        <v>99026490.196531534</v>
      </c>
      <c r="H112" s="2">
        <v>2258650.2252252251</v>
      </c>
      <c r="I112" s="2">
        <v>1488231</v>
      </c>
      <c r="J112" s="3">
        <v>66.539730859343436</v>
      </c>
      <c r="K112" s="6">
        <v>1.5176744908722</v>
      </c>
      <c r="L112" s="3">
        <v>43.84321622293551</v>
      </c>
      <c r="M112" s="53">
        <v>0.2922330320212212</v>
      </c>
      <c r="N112" s="53">
        <v>0.34956226060507517</v>
      </c>
      <c r="O112" s="4">
        <v>2755661.4188484247</v>
      </c>
      <c r="P112" s="5">
        <v>2.7827517802352077E-2</v>
      </c>
      <c r="V112" s="4">
        <v>0</v>
      </c>
      <c r="W112" s="4">
        <v>100956541.59576568</v>
      </c>
      <c r="Y112" s="2">
        <v>2240225.4504504502</v>
      </c>
      <c r="Z112" s="2">
        <v>1456295.25</v>
      </c>
      <c r="AA112" s="3">
        <v>69.324226385937664</v>
      </c>
      <c r="AB112" s="6">
        <v>1.5383044409781945</v>
      </c>
      <c r="AC112" s="3">
        <v>45.065348925245885</v>
      </c>
      <c r="AD112" s="4">
        <v>3428204.2527927943</v>
      </c>
      <c r="AE112" s="5">
        <v>3.3957227521912062E-2</v>
      </c>
      <c r="AL112" s="7">
        <v>-1.9117645758530033E-2</v>
      </c>
      <c r="AN112" s="7">
        <v>8.224518104224865E-3</v>
      </c>
      <c r="AO112" s="7">
        <v>2.192944734249469E-2</v>
      </c>
      <c r="AP112" s="7">
        <v>-4.0166269019614509E-2</v>
      </c>
      <c r="AQ112" s="7">
        <v>-1.3410836994578346E-2</v>
      </c>
      <c r="AR112" s="7">
        <v>-2.7119122151647801E-2</v>
      </c>
      <c r="AS112" s="7">
        <v>-0.19617933598807047</v>
      </c>
      <c r="AT112" s="8">
        <v>-0.61297097195599848</v>
      </c>
    </row>
    <row r="113" spans="1:46" x14ac:dyDescent="0.3">
      <c r="A113" t="str">
        <f t="shared" si="16"/>
        <v>202211 &amp; Segm Valeur &gt; Non affecté</v>
      </c>
      <c r="B113" s="1">
        <v>202211</v>
      </c>
      <c r="C113" t="s">
        <v>33</v>
      </c>
      <c r="D113" t="s">
        <v>34</v>
      </c>
      <c r="E113" s="4">
        <v>0</v>
      </c>
      <c r="F113" s="4">
        <v>249169521.93112594</v>
      </c>
      <c r="H113" s="2">
        <v>5270052.9279279271</v>
      </c>
      <c r="I113" s="2">
        <v>3766113.75</v>
      </c>
      <c r="J113" s="3">
        <v>66.160912407684435</v>
      </c>
      <c r="K113" s="6">
        <v>1.3993345070705649</v>
      </c>
      <c r="L113" s="3">
        <v>47.280269351885636</v>
      </c>
      <c r="M113" s="53">
        <v>1</v>
      </c>
      <c r="N113" s="53">
        <v>1</v>
      </c>
      <c r="O113" s="4">
        <v>10384547.769527012</v>
      </c>
      <c r="P113" s="5">
        <v>4.1676637210860207E-2</v>
      </c>
    </row>
    <row r="114" spans="1:46" x14ac:dyDescent="0.3">
      <c r="A114" t="str">
        <f t="shared" si="16"/>
        <v>202206 &amp; Segm Valeur &gt; Non affecté</v>
      </c>
      <c r="B114" s="1">
        <v>202206</v>
      </c>
      <c r="C114" t="s">
        <v>33</v>
      </c>
      <c r="D114" t="s">
        <v>34</v>
      </c>
      <c r="E114" s="4">
        <v>0</v>
      </c>
      <c r="F114" s="4">
        <v>241142988.26036048</v>
      </c>
      <c r="H114" s="2">
        <v>5248903.1531531531</v>
      </c>
      <c r="I114" s="2">
        <v>3718068</v>
      </c>
      <c r="J114" s="3">
        <v>64.857067772929511</v>
      </c>
      <c r="K114" s="6">
        <v>1.4117286593879277</v>
      </c>
      <c r="L114" s="3">
        <v>45.941596029543732</v>
      </c>
      <c r="M114" s="53">
        <v>1</v>
      </c>
      <c r="N114" s="53">
        <v>1</v>
      </c>
      <c r="O114" s="4">
        <v>5960292.6580826649</v>
      </c>
      <c r="P114" s="5">
        <v>2.4716840000536845E-2</v>
      </c>
    </row>
    <row r="115" spans="1:46" x14ac:dyDescent="0.3">
      <c r="A115" t="str">
        <f t="shared" si="16"/>
        <v>202201 &amp; Segm Valeur &gt; Non affecté</v>
      </c>
      <c r="B115">
        <v>202201</v>
      </c>
      <c r="C115" t="s">
        <v>33</v>
      </c>
      <c r="D115" t="s">
        <v>34</v>
      </c>
      <c r="E115" s="4">
        <v>0</v>
      </c>
      <c r="F115" s="4">
        <v>224643511.30531505</v>
      </c>
      <c r="H115" s="2">
        <v>5000592.1171171162</v>
      </c>
      <c r="I115" s="2">
        <v>3613990.5</v>
      </c>
      <c r="J115" s="3">
        <v>62.159408361841308</v>
      </c>
      <c r="K115" s="6">
        <v>1.3836760547979072</v>
      </c>
      <c r="L115" s="3">
        <v>44.92338228034162</v>
      </c>
      <c r="M115" s="53">
        <v>1</v>
      </c>
      <c r="N115" s="53">
        <v>1</v>
      </c>
      <c r="O115" s="4">
        <v>7469359.291463987</v>
      </c>
      <c r="P115" s="5">
        <v>3.3249833249411387E-2</v>
      </c>
    </row>
    <row r="116" spans="1:46" x14ac:dyDescent="0.3">
      <c r="A116" t="str">
        <f t="shared" si="16"/>
        <v>202207 &amp; Segm Valeur &gt; Non affecté</v>
      </c>
      <c r="B116">
        <v>202207</v>
      </c>
      <c r="C116" t="s">
        <v>33</v>
      </c>
      <c r="D116" t="s">
        <v>34</v>
      </c>
      <c r="E116" s="4">
        <v>0</v>
      </c>
      <c r="F116" s="4">
        <v>250652518.72072053</v>
      </c>
      <c r="H116" s="2">
        <v>5354706.5315315314</v>
      </c>
      <c r="I116" s="2">
        <v>3727943.25</v>
      </c>
      <c r="J116" s="3">
        <v>67.236141194134461</v>
      </c>
      <c r="K116" s="6">
        <v>1.4363701838893421</v>
      </c>
      <c r="L116" s="3">
        <v>46.809758339647033</v>
      </c>
      <c r="M116" s="53">
        <v>1</v>
      </c>
      <c r="N116" s="53">
        <v>1</v>
      </c>
      <c r="O116" s="4">
        <v>4834895.7273560641</v>
      </c>
      <c r="P116" s="5">
        <v>1.9289236557575359E-2</v>
      </c>
    </row>
    <row r="117" spans="1:46" x14ac:dyDescent="0.3">
      <c r="A117" t="str">
        <f t="shared" si="16"/>
        <v>202205 &amp; Segm Valeur &gt; Non affecté</v>
      </c>
      <c r="B117">
        <v>202205</v>
      </c>
      <c r="C117" t="s">
        <v>33</v>
      </c>
      <c r="D117" t="s">
        <v>34</v>
      </c>
      <c r="E117" s="4">
        <v>0</v>
      </c>
      <c r="F117" s="4">
        <v>237628034.19139624</v>
      </c>
      <c r="H117" s="2">
        <v>5204086.036036036</v>
      </c>
      <c r="I117" s="2">
        <v>3710301.75</v>
      </c>
      <c r="J117" s="3">
        <v>64.045473981030312</v>
      </c>
      <c r="K117" s="6">
        <v>1.4026045283341271</v>
      </c>
      <c r="L117" s="3">
        <v>45.66181891420036</v>
      </c>
      <c r="M117" s="53">
        <v>1</v>
      </c>
      <c r="N117" s="53">
        <v>1</v>
      </c>
      <c r="O117" s="4">
        <v>5635260.8865765836</v>
      </c>
      <c r="P117" s="5">
        <v>2.3714629907840304E-2</v>
      </c>
    </row>
    <row r="118" spans="1:46" x14ac:dyDescent="0.3">
      <c r="A118" t="str">
        <f t="shared" si="16"/>
        <v>202203 &amp; Segm Valeur &gt; Non affecté</v>
      </c>
      <c r="B118">
        <v>202203</v>
      </c>
      <c r="C118" t="s">
        <v>33</v>
      </c>
      <c r="D118" t="s">
        <v>34</v>
      </c>
      <c r="E118" s="4">
        <v>0</v>
      </c>
      <c r="F118" s="4">
        <v>242319399.15045044</v>
      </c>
      <c r="H118" s="2">
        <v>5310265.3153153146</v>
      </c>
      <c r="I118" s="2">
        <v>3690002.25</v>
      </c>
      <c r="J118" s="3">
        <v>65.669173819731526</v>
      </c>
      <c r="K118" s="6">
        <v>1.4390954139161607</v>
      </c>
      <c r="L118" s="3">
        <v>45.632258420606227</v>
      </c>
      <c r="M118" s="53">
        <v>1</v>
      </c>
      <c r="N118" s="53">
        <v>1</v>
      </c>
      <c r="O118" s="4">
        <v>6398631.3769310834</v>
      </c>
      <c r="P118" s="5">
        <v>2.640577435964309E-2</v>
      </c>
    </row>
    <row r="119" spans="1:46" x14ac:dyDescent="0.3">
      <c r="A119" t="str">
        <f t="shared" si="16"/>
        <v>202204 &amp; Segm Valeur &gt; Non affecté</v>
      </c>
      <c r="B119">
        <v>202204</v>
      </c>
      <c r="C119" t="s">
        <v>33</v>
      </c>
      <c r="D119" t="s">
        <v>34</v>
      </c>
      <c r="E119" s="4">
        <v>0</v>
      </c>
      <c r="F119" s="4">
        <v>246988036.99603602</v>
      </c>
      <c r="H119" s="2">
        <v>5305631.3063063063</v>
      </c>
      <c r="I119" s="2">
        <v>3734290.5</v>
      </c>
      <c r="J119" s="3">
        <v>66.140552534955702</v>
      </c>
      <c r="K119" s="6">
        <v>1.4207869758140954</v>
      </c>
      <c r="L119" s="3">
        <v>46.552054362025594</v>
      </c>
      <c r="M119" s="53">
        <v>1</v>
      </c>
      <c r="N119" s="53">
        <v>1</v>
      </c>
      <c r="O119" s="4">
        <v>5799400.0691891778</v>
      </c>
      <c r="P119" s="5">
        <v>2.3480489742433372E-2</v>
      </c>
    </row>
    <row r="120" spans="1:46" x14ac:dyDescent="0.3">
      <c r="A120" t="str">
        <f t="shared" si="16"/>
        <v>202212 &amp; Segm Valeur &gt; Non affecté</v>
      </c>
      <c r="B120">
        <v>202212</v>
      </c>
      <c r="C120" t="s">
        <v>33</v>
      </c>
      <c r="D120" t="s">
        <v>34</v>
      </c>
      <c r="E120" s="4">
        <v>0</v>
      </c>
      <c r="F120" s="4">
        <v>2534388.7455855873</v>
      </c>
      <c r="H120" s="2">
        <v>48102.477477477471</v>
      </c>
      <c r="I120" s="2">
        <v>44214</v>
      </c>
      <c r="J120" s="3">
        <v>57.320955932184091</v>
      </c>
      <c r="K120" s="6">
        <v>1.0879467471270972</v>
      </c>
      <c r="L120" s="3">
        <v>52.687280957040898</v>
      </c>
      <c r="M120" s="53">
        <v>7.9200723736198228E-3</v>
      </c>
      <c r="N120" s="53">
        <v>1.1240411177261087E-2</v>
      </c>
      <c r="O120" s="4">
        <v>122148.6821846847</v>
      </c>
      <c r="P120" s="5">
        <v>4.8196505921770667E-2</v>
      </c>
    </row>
    <row r="121" spans="1:46" x14ac:dyDescent="0.3">
      <c r="A121" t="str">
        <f t="shared" si="16"/>
        <v>202209 &amp; Segm Valeur &gt; Non affecté</v>
      </c>
      <c r="B121">
        <v>202209</v>
      </c>
      <c r="C121" t="s">
        <v>33</v>
      </c>
      <c r="D121" t="s">
        <v>34</v>
      </c>
      <c r="E121" s="4">
        <v>0</v>
      </c>
      <c r="F121" s="4">
        <v>243415582.41477448</v>
      </c>
      <c r="H121" s="2">
        <v>5288111.7117117113</v>
      </c>
      <c r="I121" s="2">
        <v>3738714</v>
      </c>
      <c r="J121" s="3">
        <v>65.106767304151774</v>
      </c>
      <c r="K121" s="6">
        <v>1.41441996143907</v>
      </c>
      <c r="L121" s="3">
        <v>46.030718654387726</v>
      </c>
      <c r="M121" s="53">
        <v>1</v>
      </c>
      <c r="N121" s="53">
        <v>1</v>
      </c>
      <c r="O121" s="4">
        <v>6906327.2168371473</v>
      </c>
      <c r="P121" s="5">
        <v>2.8372576432140348E-2</v>
      </c>
    </row>
    <row r="122" spans="1:46" x14ac:dyDescent="0.3">
      <c r="A122" t="str">
        <f t="shared" si="16"/>
        <v>202208 &amp; Segm Valeur &gt; Non affecté</v>
      </c>
      <c r="B122">
        <v>202208</v>
      </c>
      <c r="C122" t="s">
        <v>33</v>
      </c>
      <c r="D122" t="s">
        <v>34</v>
      </c>
      <c r="E122" s="4">
        <v>0</v>
      </c>
      <c r="F122" s="4">
        <v>250001462.02351338</v>
      </c>
      <c r="H122" s="2">
        <v>5354841.666666666</v>
      </c>
      <c r="I122" s="2">
        <v>3738363.75</v>
      </c>
      <c r="J122" s="3">
        <v>66.8745683251164</v>
      </c>
      <c r="K122" s="6">
        <v>1.4324025228060449</v>
      </c>
      <c r="L122" s="3">
        <v>46.686994235468539</v>
      </c>
      <c r="M122" s="53">
        <v>1</v>
      </c>
      <c r="N122" s="53">
        <v>1</v>
      </c>
      <c r="O122" s="4">
        <v>6334278.4056081558</v>
      </c>
      <c r="P122" s="5">
        <v>2.5336965449475644E-2</v>
      </c>
    </row>
    <row r="123" spans="1:46" x14ac:dyDescent="0.3">
      <c r="A123" t="str">
        <f t="shared" si="16"/>
        <v>202210 &amp; Segm Valeur &gt; Non affecté</v>
      </c>
      <c r="B123">
        <v>202210</v>
      </c>
      <c r="C123" t="s">
        <v>33</v>
      </c>
      <c r="D123" t="s">
        <v>34</v>
      </c>
      <c r="E123" s="4">
        <v>0</v>
      </c>
      <c r="F123" s="4">
        <v>249586970.87999988</v>
      </c>
      <c r="H123" s="2">
        <v>5436410.1351351347</v>
      </c>
      <c r="I123" s="2">
        <v>3768668.25</v>
      </c>
      <c r="J123" s="3">
        <v>66.22683513731937</v>
      </c>
      <c r="K123" s="6">
        <v>1.4425281756055697</v>
      </c>
      <c r="L123" s="3">
        <v>45.91025413386987</v>
      </c>
      <c r="M123" s="53">
        <v>1</v>
      </c>
      <c r="N123" s="53">
        <v>1</v>
      </c>
      <c r="O123" s="4">
        <v>7049791.6368693886</v>
      </c>
      <c r="P123" s="5">
        <v>2.8245831951936674E-2</v>
      </c>
    </row>
    <row r="124" spans="1:46" x14ac:dyDescent="0.3">
      <c r="A124" t="str">
        <f t="shared" si="16"/>
        <v>202202 &amp; Segm Valeur &gt; Non affecté</v>
      </c>
      <c r="B124">
        <v>202202</v>
      </c>
      <c r="C124" t="s">
        <v>33</v>
      </c>
      <c r="D124" t="s">
        <v>34</v>
      </c>
      <c r="E124" s="4">
        <v>0</v>
      </c>
      <c r="F124" s="4">
        <v>208933185.35959435</v>
      </c>
      <c r="H124" s="2">
        <v>4700363.2882882878</v>
      </c>
      <c r="I124" s="2">
        <v>3591186.75</v>
      </c>
      <c r="J124" s="3">
        <v>58.179426441577938</v>
      </c>
      <c r="K124" s="6">
        <v>1.3088607236280005</v>
      </c>
      <c r="L124" s="3">
        <v>44.450433412282202</v>
      </c>
      <c r="M124" s="53">
        <v>1</v>
      </c>
      <c r="N124" s="53">
        <v>1</v>
      </c>
      <c r="O124" s="4">
        <v>5360731.7924069762</v>
      </c>
      <c r="P124" s="5">
        <v>2.5657636833424213E-2</v>
      </c>
    </row>
    <row r="125" spans="1:46" x14ac:dyDescent="0.3">
      <c r="A125" t="str">
        <f t="shared" si="16"/>
        <v>202406 &amp; Segm Valeur &gt; Non affecté</v>
      </c>
      <c r="B125">
        <v>202406</v>
      </c>
      <c r="C125" t="s">
        <v>33</v>
      </c>
      <c r="D125" t="s">
        <v>34</v>
      </c>
      <c r="E125" s="4">
        <v>0</v>
      </c>
      <c r="F125" s="4">
        <v>2140454.6217567553</v>
      </c>
      <c r="H125" s="2">
        <v>40739.189189189186</v>
      </c>
      <c r="I125" s="2">
        <v>40262.25</v>
      </c>
      <c r="J125" s="3">
        <v>53.162816826102748</v>
      </c>
      <c r="K125" s="6">
        <v>1.0118458156011942</v>
      </c>
      <c r="L125" s="3">
        <v>52.540432550502508</v>
      </c>
      <c r="M125" s="53">
        <v>7.7033145796796812E-3</v>
      </c>
      <c r="N125" s="53">
        <v>9.9717470572173172E-3</v>
      </c>
      <c r="O125" s="4">
        <v>77192.526013513532</v>
      </c>
      <c r="P125" s="5">
        <v>3.6063612481613175E-2</v>
      </c>
      <c r="V125" s="4">
        <v>0</v>
      </c>
      <c r="W125" s="4">
        <v>2148917.4963063058</v>
      </c>
      <c r="Y125" s="2">
        <v>42317.342342342337</v>
      </c>
      <c r="Z125" s="2">
        <v>42683.25</v>
      </c>
      <c r="AA125" s="3">
        <v>50.345685867554735</v>
      </c>
      <c r="AB125" s="6">
        <v>0.99142737121335267</v>
      </c>
      <c r="AC125" s="3">
        <v>50.781012638313037</v>
      </c>
      <c r="AD125" s="4">
        <v>53512.800247747691</v>
      </c>
      <c r="AE125" s="5">
        <v>2.4902212551076927E-2</v>
      </c>
      <c r="AL125" s="7">
        <v>-3.9382035671899907E-3</v>
      </c>
      <c r="AN125" s="7">
        <v>-3.7293295509582713E-2</v>
      </c>
      <c r="AO125" s="7">
        <v>-5.6720141976067895E-2</v>
      </c>
      <c r="AP125" s="7">
        <v>5.5955756883699692E-2</v>
      </c>
      <c r="AQ125" s="7">
        <v>2.0594997657622294E-2</v>
      </c>
      <c r="AR125" s="7">
        <v>3.464720021872969E-2</v>
      </c>
      <c r="AS125" s="7">
        <v>0.44250582395494242</v>
      </c>
      <c r="AT125" s="8">
        <v>1.1161399930536247</v>
      </c>
    </row>
    <row r="126" spans="1:46" x14ac:dyDescent="0.3">
      <c r="A126" t="str">
        <f t="shared" si="16"/>
        <v>202405 &amp; Segm Valeur &gt; Non affecté</v>
      </c>
      <c r="B126">
        <v>202405</v>
      </c>
      <c r="C126" t="s">
        <v>33</v>
      </c>
      <c r="D126" t="s">
        <v>34</v>
      </c>
      <c r="E126" s="4">
        <v>0</v>
      </c>
      <c r="F126" s="4">
        <v>2163322.1495945947</v>
      </c>
      <c r="H126" s="2">
        <v>39157.432432432426</v>
      </c>
      <c r="I126" s="2">
        <v>39339.75</v>
      </c>
      <c r="J126" s="3">
        <v>54.990744719897677</v>
      </c>
      <c r="K126" s="6">
        <v>0.99536556364573814</v>
      </c>
      <c r="L126" s="3">
        <v>55.246782416786026</v>
      </c>
      <c r="M126" s="53">
        <v>7.5955116661277485E-3</v>
      </c>
      <c r="N126" s="53">
        <v>9.7136678211905848E-3</v>
      </c>
      <c r="O126" s="4">
        <v>53613.249572072047</v>
      </c>
      <c r="P126" s="5">
        <v>2.478283208172169E-2</v>
      </c>
      <c r="V126" s="4">
        <v>0</v>
      </c>
      <c r="W126" s="4">
        <v>2265903.6546396408</v>
      </c>
      <c r="Y126" s="2">
        <v>42906.756756756753</v>
      </c>
      <c r="Z126" s="2">
        <v>43781.25</v>
      </c>
      <c r="AA126" s="3">
        <v>51.755115594909711</v>
      </c>
      <c r="AB126" s="6">
        <v>0.98002585026139621</v>
      </c>
      <c r="AC126" s="3">
        <v>52.80994943256384</v>
      </c>
      <c r="AD126" s="4">
        <v>57536.362162162157</v>
      </c>
      <c r="AE126" s="5">
        <v>2.5392236798926247E-2</v>
      </c>
      <c r="AL126" s="7">
        <v>-4.5271785865652836E-2</v>
      </c>
      <c r="AN126" s="7">
        <v>-8.7383074548833206E-2</v>
      </c>
      <c r="AO126" s="7">
        <v>-0.10144753747323343</v>
      </c>
      <c r="AP126" s="7">
        <v>6.2518054259861344E-2</v>
      </c>
      <c r="AQ126" s="7">
        <v>1.5652355884541613E-2</v>
      </c>
      <c r="AR126" s="7">
        <v>4.6143444756256091E-2</v>
      </c>
      <c r="AS126" s="7">
        <v>-6.818492589144054E-2</v>
      </c>
      <c r="AT126" s="8">
        <v>-6.0940471720455705E-2</v>
      </c>
    </row>
    <row r="127" spans="1:46" x14ac:dyDescent="0.3">
      <c r="A127" t="str">
        <f t="shared" si="16"/>
        <v>202411 &amp; Segm Valeur &gt; Non affecté</v>
      </c>
      <c r="B127">
        <v>202411</v>
      </c>
      <c r="C127" t="s">
        <v>33</v>
      </c>
      <c r="D127" t="s">
        <v>34</v>
      </c>
      <c r="E127" s="4">
        <v>0</v>
      </c>
      <c r="F127" s="4">
        <v>2882891.9573873878</v>
      </c>
      <c r="H127" s="2">
        <v>53466.441441441435</v>
      </c>
      <c r="I127" s="2">
        <v>53008.5</v>
      </c>
      <c r="J127" s="3">
        <v>54.38546567790803</v>
      </c>
      <c r="K127" s="6">
        <v>1.0086390190524432</v>
      </c>
      <c r="L127" s="3">
        <v>53.919652770324078</v>
      </c>
      <c r="M127" s="53">
        <v>9.7749730017586065E-3</v>
      </c>
      <c r="N127" s="53">
        <v>1.2867999140652593E-2</v>
      </c>
      <c r="O127" s="4">
        <v>271497.84105855861</v>
      </c>
      <c r="P127" s="5">
        <v>9.4175517179146295E-2</v>
      </c>
      <c r="V127" s="4">
        <v>0</v>
      </c>
      <c r="W127" s="4">
        <v>2310780.1920720711</v>
      </c>
      <c r="Y127" s="2">
        <v>42199.549549549549</v>
      </c>
      <c r="Z127" s="2">
        <v>41800.5</v>
      </c>
      <c r="AA127" s="3">
        <v>55.281161518930901</v>
      </c>
      <c r="AB127" s="6">
        <v>1.009546525748485</v>
      </c>
      <c r="AC127" s="3">
        <v>54.758408957868539</v>
      </c>
      <c r="AD127" s="4">
        <v>231018.09846846844</v>
      </c>
      <c r="AE127" s="5">
        <v>9.997406904432353E-2</v>
      </c>
      <c r="AL127" s="7">
        <v>0.24758381055807188</v>
      </c>
      <c r="AN127" s="7">
        <v>0.2669908094318072</v>
      </c>
      <c r="AO127" s="7">
        <v>0.26813076398607683</v>
      </c>
      <c r="AP127" s="7">
        <v>-1.6202551039311008E-2</v>
      </c>
      <c r="AQ127" s="7">
        <v>-8.989250845758967E-4</v>
      </c>
      <c r="AR127" s="7">
        <v>-1.531739514546171E-2</v>
      </c>
      <c r="AS127" s="7">
        <v>0.17522325245705916</v>
      </c>
      <c r="AT127" s="8">
        <v>-0.5798551865177235</v>
      </c>
    </row>
    <row r="128" spans="1:46" x14ac:dyDescent="0.3">
      <c r="A128" t="str">
        <f t="shared" si="16"/>
        <v>202410 &amp; Segm Valeur &gt; Non affecté</v>
      </c>
      <c r="B128">
        <v>202410</v>
      </c>
      <c r="C128" t="s">
        <v>33</v>
      </c>
      <c r="D128" t="s">
        <v>34</v>
      </c>
      <c r="E128" s="4">
        <v>0</v>
      </c>
      <c r="F128" s="4">
        <v>2406418.692432432</v>
      </c>
      <c r="H128" s="2">
        <v>47330.4054054054</v>
      </c>
      <c r="I128" s="2">
        <v>50411.25</v>
      </c>
      <c r="J128" s="3">
        <v>47.735747326885011</v>
      </c>
      <c r="K128" s="6">
        <v>0.93888577262824069</v>
      </c>
      <c r="L128" s="3">
        <v>50.842976556410513</v>
      </c>
      <c r="M128" s="53">
        <v>8.3499406189463162E-3</v>
      </c>
      <c r="N128" s="53">
        <v>1.2216611065016217E-2</v>
      </c>
      <c r="O128" s="4">
        <v>121690.68801801797</v>
      </c>
      <c r="P128" s="5">
        <v>5.0569208259852658E-2</v>
      </c>
      <c r="V128" s="4">
        <v>0</v>
      </c>
      <c r="W128" s="4">
        <v>2126424.4810360349</v>
      </c>
      <c r="Y128" s="2">
        <v>42338.063063063062</v>
      </c>
      <c r="Z128" s="2">
        <v>43015.5</v>
      </c>
      <c r="AA128" s="3">
        <v>49.433912915949712</v>
      </c>
      <c r="AB128" s="6">
        <v>0.98425132947572536</v>
      </c>
      <c r="AC128" s="3">
        <v>50.224888131247283</v>
      </c>
      <c r="AD128" s="4">
        <v>53485.832657657658</v>
      </c>
      <c r="AE128" s="5">
        <v>2.5152942479103858E-2</v>
      </c>
      <c r="AL128" s="7">
        <v>0.13167371514645954</v>
      </c>
      <c r="AN128" s="7">
        <v>0.11791617237912333</v>
      </c>
      <c r="AO128" s="7">
        <v>0.17193221048226803</v>
      </c>
      <c r="AP128" s="7">
        <v>-3.4352238956928516E-2</v>
      </c>
      <c r="AQ128" s="7">
        <v>-4.6091435682031778E-2</v>
      </c>
      <c r="AR128" s="7">
        <v>1.2306417160114824E-2</v>
      </c>
      <c r="AS128" s="7">
        <v>1.2751947940478647</v>
      </c>
      <c r="AT128" s="8">
        <v>2.5416265780748799</v>
      </c>
    </row>
    <row r="129" spans="1:46" x14ac:dyDescent="0.3">
      <c r="A129" t="str">
        <f t="shared" si="16"/>
        <v>202412 &amp; Segm Valeur &gt; Non affecté</v>
      </c>
      <c r="B129">
        <v>202412</v>
      </c>
      <c r="C129" t="s">
        <v>33</v>
      </c>
      <c r="D129" t="s">
        <v>34</v>
      </c>
      <c r="E129" s="4">
        <v>0</v>
      </c>
      <c r="F129" s="4">
        <v>2451211.1338738729</v>
      </c>
      <c r="H129" s="2">
        <v>45404.729729729726</v>
      </c>
      <c r="I129" s="2">
        <v>42900</v>
      </c>
      <c r="J129" s="3">
        <v>57.137788668388644</v>
      </c>
      <c r="K129" s="6">
        <v>1.0583853083853083</v>
      </c>
      <c r="L129" s="3">
        <v>53.985810475354278</v>
      </c>
      <c r="M129" s="53">
        <v>7.2336690955570907E-3</v>
      </c>
      <c r="N129" s="53">
        <v>1.0076541195525241E-2</v>
      </c>
      <c r="O129" s="4">
        <v>92420.807837837856</v>
      </c>
      <c r="P129" s="5">
        <v>3.7704140031290086E-2</v>
      </c>
      <c r="V129" s="4">
        <v>0</v>
      </c>
      <c r="W129" s="4">
        <v>2602267.6003603591</v>
      </c>
      <c r="Y129" s="2">
        <v>45741.441441441435</v>
      </c>
      <c r="Z129" s="2">
        <v>42382.5</v>
      </c>
      <c r="AA129" s="3">
        <v>61.399577664374661</v>
      </c>
      <c r="AB129" s="6">
        <v>1.079253027580757</v>
      </c>
      <c r="AC129" s="3">
        <v>56.890808823587321</v>
      </c>
      <c r="AD129" s="4">
        <v>113427.18749999999</v>
      </c>
      <c r="AE129" s="5">
        <v>4.3587826049977609E-2</v>
      </c>
      <c r="AL129" s="7">
        <v>-5.8048014149493343E-2</v>
      </c>
      <c r="AN129" s="7">
        <v>-7.3611959112125369E-3</v>
      </c>
      <c r="AO129" s="7">
        <v>1.2210228278180857E-2</v>
      </c>
      <c r="AP129" s="7">
        <v>-6.9410721671116615E-2</v>
      </c>
      <c r="AQ129" s="7">
        <v>-1.9335335331164716E-2</v>
      </c>
      <c r="AR129" s="7">
        <v>-5.1062700782496417E-2</v>
      </c>
      <c r="AS129" s="7">
        <v>-0.1851970424829773</v>
      </c>
      <c r="AT129" s="8">
        <v>-0.58836860186875228</v>
      </c>
    </row>
    <row r="130" spans="1:46" x14ac:dyDescent="0.3">
      <c r="A130" t="str">
        <f t="shared" ref="A130:A193" si="17">_xlfn.CONCAT(B130," &amp; ",C130," &gt; ",D130)</f>
        <v>202407 &amp; Segm Valeur &gt; Non affecté</v>
      </c>
      <c r="B130">
        <v>202407</v>
      </c>
      <c r="C130" t="s">
        <v>33</v>
      </c>
      <c r="D130" t="s">
        <v>34</v>
      </c>
      <c r="E130" s="4">
        <v>0</v>
      </c>
      <c r="F130" s="4">
        <v>1925037.89752252</v>
      </c>
      <c r="H130" s="2">
        <v>34194.369369369364</v>
      </c>
      <c r="I130" s="2">
        <v>31944.75</v>
      </c>
      <c r="J130" s="3">
        <v>60.26147950829229</v>
      </c>
      <c r="K130" s="6">
        <v>1.07042219361145</v>
      </c>
      <c r="L130" s="3">
        <v>56.296926453831041</v>
      </c>
      <c r="M130" s="53">
        <v>6.7027000922137E-3</v>
      </c>
      <c r="N130" s="53">
        <v>7.8488469051941189E-3</v>
      </c>
      <c r="O130" s="4">
        <v>46546.03522522522</v>
      </c>
      <c r="P130" s="5">
        <v>2.4179282540426297E-2</v>
      </c>
      <c r="V130" s="4">
        <v>0</v>
      </c>
      <c r="W130" s="4">
        <v>2168447.2731081075</v>
      </c>
      <c r="Y130" s="2">
        <v>39287.16216216216</v>
      </c>
      <c r="Z130" s="2">
        <v>39113.25</v>
      </c>
      <c r="AA130" s="3">
        <v>55.440222254814095</v>
      </c>
      <c r="AB130" s="6">
        <v>1.0044463746214431</v>
      </c>
      <c r="AC130" s="3">
        <v>55.194805472525573</v>
      </c>
      <c r="AD130" s="4">
        <v>32008.928986486466</v>
      </c>
      <c r="AE130" s="5">
        <v>1.4761220797684882E-2</v>
      </c>
      <c r="AL130" s="7">
        <v>-0.11225053917806393</v>
      </c>
      <c r="AN130" s="7">
        <v>-0.12962994811821027</v>
      </c>
      <c r="AO130" s="7">
        <v>-0.18327548848535979</v>
      </c>
      <c r="AP130" s="7">
        <v>8.6963166044298212E-2</v>
      </c>
      <c r="AQ130" s="7">
        <v>6.568376436708423E-2</v>
      </c>
      <c r="AR130" s="7">
        <v>1.9967838854945796E-2</v>
      </c>
      <c r="AS130" s="7">
        <v>0.45415784592093145</v>
      </c>
      <c r="AT130" s="8">
        <v>0.94180617427414148</v>
      </c>
    </row>
    <row r="131" spans="1:46" x14ac:dyDescent="0.3">
      <c r="A131" t="str">
        <f t="shared" si="17"/>
        <v>202409 &amp; Segm Valeur &gt; Non affecté</v>
      </c>
      <c r="B131">
        <v>202409</v>
      </c>
      <c r="C131" t="s">
        <v>33</v>
      </c>
      <c r="D131" t="s">
        <v>34</v>
      </c>
      <c r="E131" s="4">
        <v>0</v>
      </c>
      <c r="F131" s="4">
        <v>2081980.9303603596</v>
      </c>
      <c r="H131" s="2">
        <v>42175.225225225222</v>
      </c>
      <c r="I131" s="2">
        <v>42671.25</v>
      </c>
      <c r="J131" s="3">
        <v>48.791186814549832</v>
      </c>
      <c r="K131" s="6">
        <v>0.98837566804874999</v>
      </c>
      <c r="L131" s="3">
        <v>49.365022219611433</v>
      </c>
      <c r="M131" s="53">
        <v>7.920661893601846E-3</v>
      </c>
      <c r="N131" s="53">
        <v>1.0587854347449853E-2</v>
      </c>
      <c r="O131" s="4">
        <v>63027.995584459444</v>
      </c>
      <c r="P131" s="5">
        <v>3.0273089760505273E-2</v>
      </c>
      <c r="V131" s="4">
        <v>0</v>
      </c>
      <c r="W131" s="4">
        <v>2284244.1134234243</v>
      </c>
      <c r="Y131" s="2">
        <v>42202.7027027027</v>
      </c>
      <c r="Z131" s="2">
        <v>45153.75</v>
      </c>
      <c r="AA131" s="3">
        <v>50.588137495189756</v>
      </c>
      <c r="AB131" s="6">
        <v>0.93464446923461952</v>
      </c>
      <c r="AC131" s="3">
        <v>54.125540952076022</v>
      </c>
      <c r="AD131" s="4">
        <v>59691.120202702674</v>
      </c>
      <c r="AE131" s="5">
        <v>2.6131672990608201E-2</v>
      </c>
      <c r="AL131" s="7">
        <v>-8.8547096115716983E-2</v>
      </c>
      <c r="AN131" s="7">
        <v>-6.5108336001706846E-4</v>
      </c>
      <c r="AO131" s="7">
        <v>-5.4978822356947066E-2</v>
      </c>
      <c r="AP131" s="7">
        <v>-3.5521186776460989E-2</v>
      </c>
      <c r="AQ131" s="7">
        <v>5.7488382569824692E-2</v>
      </c>
      <c r="AR131" s="7">
        <v>-8.7953277671250607E-2</v>
      </c>
      <c r="AS131" s="7">
        <v>5.5902374933243237E-2</v>
      </c>
      <c r="AT131" s="8">
        <v>0.41414167698970716</v>
      </c>
    </row>
    <row r="132" spans="1:46" x14ac:dyDescent="0.3">
      <c r="A132" t="str">
        <f t="shared" si="17"/>
        <v>202404 &amp; Segm Valeur &gt; Non affecté</v>
      </c>
      <c r="B132">
        <v>202404</v>
      </c>
      <c r="C132" t="s">
        <v>33</v>
      </c>
      <c r="D132" t="s">
        <v>34</v>
      </c>
      <c r="E132" s="4">
        <v>0</v>
      </c>
      <c r="F132" s="4">
        <v>2068480.2590991005</v>
      </c>
      <c r="H132" s="2">
        <v>40259.684684684682</v>
      </c>
      <c r="I132" s="2">
        <v>41073.75</v>
      </c>
      <c r="J132" s="3">
        <v>50.360151169520691</v>
      </c>
      <c r="K132" s="6">
        <v>0.9801803995175673</v>
      </c>
      <c r="L132" s="3">
        <v>51.37845155270125</v>
      </c>
      <c r="M132" s="53">
        <v>7.6057690410969827E-3</v>
      </c>
      <c r="N132" s="53">
        <v>1.018580326120536E-2</v>
      </c>
      <c r="O132" s="4">
        <v>49487.456779279251</v>
      </c>
      <c r="P132" s="5">
        <v>2.3924548741322223E-2</v>
      </c>
      <c r="V132" s="4">
        <v>0</v>
      </c>
      <c r="W132" s="4">
        <v>2724145.3127927929</v>
      </c>
      <c r="Y132" s="2">
        <v>53345.495495495488</v>
      </c>
      <c r="Z132" s="2">
        <v>48223.5</v>
      </c>
      <c r="AA132" s="3">
        <v>56.489995806874091</v>
      </c>
      <c r="AB132" s="6">
        <v>1.1062136820325255</v>
      </c>
      <c r="AC132" s="3">
        <v>51.066079478497315</v>
      </c>
      <c r="AD132" s="4">
        <v>50661.736756756763</v>
      </c>
      <c r="AE132" s="5">
        <v>1.8597296010181764E-2</v>
      </c>
      <c r="AL132" s="7">
        <v>-0.24068651940652341</v>
      </c>
      <c r="AN132" s="7">
        <v>-0.24530301367086893</v>
      </c>
      <c r="AO132" s="7">
        <v>-0.1482627764471679</v>
      </c>
      <c r="AP132" s="7">
        <v>-0.1085120391637111</v>
      </c>
      <c r="AQ132" s="7">
        <v>-0.11393213134318514</v>
      </c>
      <c r="AR132" s="7">
        <v>6.1170169590847312E-3</v>
      </c>
      <c r="AS132" s="7">
        <v>-2.3178833823159439E-2</v>
      </c>
      <c r="AT132" s="8">
        <v>0.53272527311404583</v>
      </c>
    </row>
    <row r="133" spans="1:46" x14ac:dyDescent="0.3">
      <c r="A133" t="str">
        <f t="shared" si="17"/>
        <v>202304 &amp; Segm Valeur &gt; Non affecté</v>
      </c>
      <c r="B133">
        <v>202304</v>
      </c>
      <c r="C133" t="s">
        <v>33</v>
      </c>
      <c r="D133" t="s">
        <v>34</v>
      </c>
      <c r="E133" s="4">
        <v>0</v>
      </c>
      <c r="F133" s="4">
        <v>2724145.3127927929</v>
      </c>
      <c r="H133" s="2">
        <v>53345.495495495488</v>
      </c>
      <c r="I133" s="2">
        <v>48223.5</v>
      </c>
      <c r="J133" s="3">
        <v>56.489995806874091</v>
      </c>
      <c r="K133" s="6">
        <v>1.1062136820325255</v>
      </c>
      <c r="L133" s="3">
        <v>51.066079478497315</v>
      </c>
      <c r="M133" s="53">
        <v>9.900130079400167E-3</v>
      </c>
      <c r="N133" s="53">
        <v>1.2255408367483085E-2</v>
      </c>
      <c r="O133" s="4">
        <v>50661.736756756763</v>
      </c>
      <c r="P133" s="5">
        <v>1.8597296010181764E-2</v>
      </c>
      <c r="V133" s="4">
        <v>0</v>
      </c>
      <c r="W133" s="4">
        <v>246988036.99603602</v>
      </c>
      <c r="Y133" s="2">
        <v>5305631.3063063063</v>
      </c>
      <c r="Z133" s="2">
        <v>3734290.5</v>
      </c>
      <c r="AA133" s="3">
        <v>66.140552534955702</v>
      </c>
      <c r="AB133" s="6">
        <v>1.4207869758140954</v>
      </c>
      <c r="AC133" s="3">
        <v>46.552054362025594</v>
      </c>
      <c r="AD133" s="4">
        <v>5799400.0691891778</v>
      </c>
      <c r="AE133" s="5">
        <v>2.3480489742433372E-2</v>
      </c>
      <c r="AL133" s="7">
        <v>-0.98897053741579999</v>
      </c>
      <c r="AN133" s="7">
        <v>-0.98994549518884045</v>
      </c>
      <c r="AO133" s="7">
        <v>-0.98708630193607061</v>
      </c>
      <c r="AP133" s="7">
        <v>-0.14590982926822738</v>
      </c>
      <c r="AQ133" s="7">
        <v>-0.22140778254341953</v>
      </c>
      <c r="AR133" s="7">
        <v>9.6967259089514979E-2</v>
      </c>
      <c r="AS133" s="7">
        <v>-0.99126431421313554</v>
      </c>
      <c r="AT133" s="8">
        <v>-0.48831937322516072</v>
      </c>
    </row>
    <row r="134" spans="1:46" x14ac:dyDescent="0.3">
      <c r="A134" t="str">
        <f t="shared" si="17"/>
        <v>202402 &amp; Segm Valeur &gt; Non affecté</v>
      </c>
      <c r="B134">
        <v>202402</v>
      </c>
      <c r="C134" t="s">
        <v>33</v>
      </c>
      <c r="D134" t="s">
        <v>34</v>
      </c>
      <c r="E134" s="4">
        <v>0</v>
      </c>
      <c r="F134" s="4">
        <v>2136692.5052702697</v>
      </c>
      <c r="H134" s="2">
        <v>42592.117117117115</v>
      </c>
      <c r="I134" s="2">
        <v>43953.75</v>
      </c>
      <c r="J134" s="3">
        <v>48.61229144885862</v>
      </c>
      <c r="K134" s="6">
        <v>0.96902123521012695</v>
      </c>
      <c r="L134" s="3">
        <v>50.166384061044148</v>
      </c>
      <c r="M134" s="53">
        <v>8.2650461174594309E-3</v>
      </c>
      <c r="N134" s="53">
        <v>1.1101364044234214E-2</v>
      </c>
      <c r="O134" s="4">
        <v>58469.963873873807</v>
      </c>
      <c r="P134" s="5">
        <v>2.7364706774444345E-2</v>
      </c>
      <c r="V134" s="4">
        <v>0</v>
      </c>
      <c r="W134" s="4">
        <v>1794688.0403603613</v>
      </c>
      <c r="Y134" s="2">
        <v>37677.252252252249</v>
      </c>
      <c r="Z134" s="2">
        <v>39198.75</v>
      </c>
      <c r="AA134" s="3">
        <v>45.784318131582289</v>
      </c>
      <c r="AB134" s="6">
        <v>0.96118504422340634</v>
      </c>
      <c r="AC134" s="3">
        <v>47.633198629899546</v>
      </c>
      <c r="AD134" s="4">
        <v>56957.559256756729</v>
      </c>
      <c r="AE134" s="5">
        <v>3.1736746429379466E-2</v>
      </c>
      <c r="AL134" s="7">
        <v>0.19056485429146575</v>
      </c>
      <c r="AN134" s="7">
        <v>0.1304464782081094</v>
      </c>
      <c r="AO134" s="7">
        <v>0.121304888548742</v>
      </c>
      <c r="AP134" s="7">
        <v>6.1767291349602571E-2</v>
      </c>
      <c r="AQ134" s="7">
        <v>8.1526351599154889E-3</v>
      </c>
      <c r="AR134" s="7">
        <v>5.3181090164172051E-2</v>
      </c>
      <c r="AS134" s="7">
        <v>2.6553185158432857E-2</v>
      </c>
      <c r="AT134" s="8">
        <v>-0.43720396549351215</v>
      </c>
    </row>
    <row r="135" spans="1:46" x14ac:dyDescent="0.3">
      <c r="A135" t="str">
        <f t="shared" si="17"/>
        <v>202403 &amp; Segm Valeur &gt; Non affecté</v>
      </c>
      <c r="B135">
        <v>202403</v>
      </c>
      <c r="C135" t="s">
        <v>33</v>
      </c>
      <c r="D135" t="s">
        <v>34</v>
      </c>
      <c r="E135" s="4">
        <v>0</v>
      </c>
      <c r="F135" s="4">
        <v>2173603.4670270248</v>
      </c>
      <c r="H135" s="2">
        <v>42489.86486486486</v>
      </c>
      <c r="I135" s="2">
        <v>42456.75</v>
      </c>
      <c r="J135" s="3">
        <v>51.195710152732481</v>
      </c>
      <c r="K135" s="6">
        <v>1.0007799670220838</v>
      </c>
      <c r="L135" s="3">
        <v>51.155810307704492</v>
      </c>
      <c r="M135" s="53">
        <v>7.5458719179198677E-3</v>
      </c>
      <c r="N135" s="53">
        <v>1.0481440061619588E-2</v>
      </c>
      <c r="O135" s="4">
        <v>58623.046959459476</v>
      </c>
      <c r="P135" s="5">
        <v>2.6970442331711007E-2</v>
      </c>
      <c r="V135" s="4">
        <v>0</v>
      </c>
      <c r="W135" s="4">
        <v>2120816.1266216212</v>
      </c>
      <c r="Y135" s="2">
        <v>44759.459459459453</v>
      </c>
      <c r="Z135" s="2">
        <v>45393.75</v>
      </c>
      <c r="AA135" s="3">
        <v>46.720443378694668</v>
      </c>
      <c r="AB135" s="6">
        <v>0.9860269191124208</v>
      </c>
      <c r="AC135" s="3">
        <v>47.382523208139602</v>
      </c>
      <c r="AD135" s="4">
        <v>52545.041554054042</v>
      </c>
      <c r="AE135" s="5">
        <v>2.4775859111254628E-2</v>
      </c>
      <c r="AL135" s="7">
        <v>2.4890107040770104E-2</v>
      </c>
      <c r="AN135" s="7">
        <v>-5.0706479077350375E-2</v>
      </c>
      <c r="AO135" s="7">
        <v>-6.4700536968194999E-2</v>
      </c>
      <c r="AP135" s="7">
        <v>9.5788191429677427E-2</v>
      </c>
      <c r="AQ135" s="7">
        <v>1.4962114749304201E-2</v>
      </c>
      <c r="AR135" s="7">
        <v>7.9634575030750998E-2</v>
      </c>
      <c r="AS135" s="7">
        <v>0.11567229229713094</v>
      </c>
      <c r="AT135" s="8">
        <v>0.21945832204563787</v>
      </c>
    </row>
    <row r="136" spans="1:46" x14ac:dyDescent="0.3">
      <c r="A136" t="str">
        <f t="shared" si="17"/>
        <v>202312 &amp; Segm Valeur &gt; Non affecté</v>
      </c>
      <c r="B136">
        <v>202312</v>
      </c>
      <c r="C136" t="s">
        <v>33</v>
      </c>
      <c r="D136" t="s">
        <v>34</v>
      </c>
      <c r="E136" s="4">
        <v>0</v>
      </c>
      <c r="F136" s="4">
        <v>2602267.6003603591</v>
      </c>
      <c r="H136" s="2">
        <v>45741.441441441435</v>
      </c>
      <c r="I136" s="2">
        <v>42382.5</v>
      </c>
      <c r="J136" s="3">
        <v>61.399577664374661</v>
      </c>
      <c r="K136" s="6">
        <v>1.079253027580757</v>
      </c>
      <c r="L136" s="3">
        <v>56.890808823587321</v>
      </c>
      <c r="M136" s="53">
        <v>7.6451828297273428E-3</v>
      </c>
      <c r="N136" s="53">
        <v>1.0329098116744581E-2</v>
      </c>
      <c r="O136" s="4">
        <v>113427.18749999999</v>
      </c>
      <c r="P136" s="5">
        <v>4.3587826049977609E-2</v>
      </c>
      <c r="V136" s="4">
        <v>0</v>
      </c>
      <c r="W136" s="4">
        <v>2534388.7455855873</v>
      </c>
      <c r="Y136" s="2">
        <v>48102.477477477471</v>
      </c>
      <c r="Z136" s="2">
        <v>44214</v>
      </c>
      <c r="AA136" s="3">
        <v>57.320955932184091</v>
      </c>
      <c r="AB136" s="6">
        <v>1.0879467471270972</v>
      </c>
      <c r="AC136" s="3">
        <v>52.687280957040898</v>
      </c>
      <c r="AD136" s="4">
        <v>122148.6821846847</v>
      </c>
      <c r="AE136" s="5">
        <v>4.8196505921770667E-2</v>
      </c>
      <c r="AL136" s="7">
        <v>2.6783126658451062E-2</v>
      </c>
      <c r="AN136" s="7">
        <v>-4.9083460142806956E-2</v>
      </c>
      <c r="AO136" s="7">
        <v>-4.1423531008277892E-2</v>
      </c>
      <c r="AP136" s="7">
        <v>7.1154112241532674E-2</v>
      </c>
      <c r="AQ136" s="7">
        <v>-7.9909421755222088E-3</v>
      </c>
      <c r="AR136" s="7">
        <v>7.9782592500338145E-2</v>
      </c>
      <c r="AS136" s="7">
        <v>-7.1400644924667356E-2</v>
      </c>
      <c r="AT136" s="8">
        <v>-0.46086798717930588</v>
      </c>
    </row>
    <row r="137" spans="1:46" x14ac:dyDescent="0.3">
      <c r="A137" t="str">
        <f t="shared" si="17"/>
        <v>202306 &amp; Segm Valeur &gt; Non affecté</v>
      </c>
      <c r="B137">
        <v>202306</v>
      </c>
      <c r="C137" t="s">
        <v>33</v>
      </c>
      <c r="D137" t="s">
        <v>34</v>
      </c>
      <c r="E137" s="4">
        <v>0</v>
      </c>
      <c r="F137" s="4">
        <v>2148917.4963063058</v>
      </c>
      <c r="H137" s="2">
        <v>42317.342342342337</v>
      </c>
      <c r="I137" s="2">
        <v>42683.25</v>
      </c>
      <c r="J137" s="3">
        <v>50.345685867554735</v>
      </c>
      <c r="K137" s="6">
        <v>0.99142737121335267</v>
      </c>
      <c r="L137" s="3">
        <v>50.781012638313037</v>
      </c>
      <c r="M137" s="53">
        <v>7.7334241130896358E-3</v>
      </c>
      <c r="N137" s="53">
        <v>1.0909497997468489E-2</v>
      </c>
      <c r="O137" s="4">
        <v>53512.800247747691</v>
      </c>
      <c r="P137" s="5">
        <v>2.4902212551076927E-2</v>
      </c>
      <c r="V137" s="4">
        <v>0</v>
      </c>
      <c r="W137" s="4">
        <v>241142988.26036048</v>
      </c>
      <c r="Y137" s="2">
        <v>5248903.1531531531</v>
      </c>
      <c r="Z137" s="2">
        <v>3718068</v>
      </c>
      <c r="AA137" s="3">
        <v>64.857067772929511</v>
      </c>
      <c r="AB137" s="6">
        <v>1.4117286593879277</v>
      </c>
      <c r="AC137" s="3">
        <v>45.941596029543732</v>
      </c>
      <c r="AD137" s="4">
        <v>5960292.6580826649</v>
      </c>
      <c r="AE137" s="5">
        <v>2.4716840000536845E-2</v>
      </c>
      <c r="AL137" s="7">
        <v>-0.99108861712377005</v>
      </c>
      <c r="AN137" s="7">
        <v>-0.99193786947337348</v>
      </c>
      <c r="AO137" s="7">
        <v>-0.98852004589480347</v>
      </c>
      <c r="AP137" s="7">
        <v>-0.22374403289677602</v>
      </c>
      <c r="AQ137" s="7">
        <v>-0.29772101414786167</v>
      </c>
      <c r="AR137" s="7">
        <v>0.10533845201323033</v>
      </c>
      <c r="AS137" s="7">
        <v>-0.991021783104026</v>
      </c>
      <c r="AT137" s="8">
        <v>1.8537255054008189E-2</v>
      </c>
    </row>
    <row r="138" spans="1:46" x14ac:dyDescent="0.3">
      <c r="A138" t="str">
        <f t="shared" si="17"/>
        <v>202308 &amp; Segm Valeur &gt; Non affecté</v>
      </c>
      <c r="B138">
        <v>202308</v>
      </c>
      <c r="C138" t="s">
        <v>33</v>
      </c>
      <c r="D138" t="s">
        <v>34</v>
      </c>
      <c r="E138" s="4">
        <v>0</v>
      </c>
      <c r="F138" s="4">
        <v>2272241.3239189172</v>
      </c>
      <c r="H138" s="2">
        <v>40671.62162162162</v>
      </c>
      <c r="I138" s="2">
        <v>42429.75</v>
      </c>
      <c r="J138" s="3">
        <v>53.553021734017221</v>
      </c>
      <c r="K138" s="6">
        <v>0.9585637818186914</v>
      </c>
      <c r="L138" s="3">
        <v>55.867979522875999</v>
      </c>
      <c r="M138" s="53">
        <v>8.2314208499289915E-3</v>
      </c>
      <c r="N138" s="53">
        <v>1.0838192093079749E-2</v>
      </c>
      <c r="O138" s="4">
        <v>72941.935990991013</v>
      </c>
      <c r="P138" s="5">
        <v>3.2101315658315997E-2</v>
      </c>
      <c r="V138" s="4">
        <v>0</v>
      </c>
      <c r="W138" s="4">
        <v>250001462.02351338</v>
      </c>
      <c r="Y138" s="2">
        <v>5354841.666666666</v>
      </c>
      <c r="Z138" s="2">
        <v>3738363.75</v>
      </c>
      <c r="AA138" s="3">
        <v>66.8745683251164</v>
      </c>
      <c r="AB138" s="6">
        <v>1.4324025228060449</v>
      </c>
      <c r="AC138" s="3">
        <v>46.686994235468539</v>
      </c>
      <c r="AD138" s="4">
        <v>6334278.4056081558</v>
      </c>
      <c r="AE138" s="5">
        <v>2.5336965449475644E-2</v>
      </c>
      <c r="AL138" s="7">
        <v>-0.99091108785713744</v>
      </c>
      <c r="AN138" s="7">
        <v>-0.9924047013612376</v>
      </c>
      <c r="AO138" s="7">
        <v>-0.98865018151323558</v>
      </c>
      <c r="AP138" s="7">
        <v>-0.19920198252847554</v>
      </c>
      <c r="AQ138" s="7">
        <v>-0.33079999053556108</v>
      </c>
      <c r="AR138" s="7">
        <v>0.19664974020607606</v>
      </c>
      <c r="AS138" s="7">
        <v>-0.98848457056664718</v>
      </c>
      <c r="AT138" s="8">
        <v>0.6764350208840354</v>
      </c>
    </row>
    <row r="139" spans="1:46" x14ac:dyDescent="0.3">
      <c r="A139" t="str">
        <f t="shared" si="17"/>
        <v>202303 &amp; Segm Valeur &gt; Non affecté</v>
      </c>
      <c r="B139">
        <v>202303</v>
      </c>
      <c r="C139" t="s">
        <v>33</v>
      </c>
      <c r="D139" t="s">
        <v>34</v>
      </c>
      <c r="E139" s="4">
        <v>0</v>
      </c>
      <c r="F139" s="4">
        <v>2120816.1266216212</v>
      </c>
      <c r="H139" s="2">
        <v>44759.459459459453</v>
      </c>
      <c r="I139" s="2">
        <v>45393.75</v>
      </c>
      <c r="J139" s="3">
        <v>46.720443378694668</v>
      </c>
      <c r="K139" s="6">
        <v>0.9860269191124208</v>
      </c>
      <c r="L139" s="3">
        <v>47.382523208139602</v>
      </c>
      <c r="M139" s="53">
        <v>7.9867933094272901E-3</v>
      </c>
      <c r="N139" s="53">
        <v>1.1733105152466394E-2</v>
      </c>
      <c r="O139" s="4">
        <v>52545.041554054042</v>
      </c>
      <c r="P139" s="5">
        <v>2.4775859111254628E-2</v>
      </c>
      <c r="V139" s="4">
        <v>0</v>
      </c>
      <c r="W139" s="4">
        <v>242319399.15045044</v>
      </c>
      <c r="Y139" s="2">
        <v>5310265.3153153146</v>
      </c>
      <c r="Z139" s="2">
        <v>3690002.25</v>
      </c>
      <c r="AA139" s="3">
        <v>65.669173819731526</v>
      </c>
      <c r="AB139" s="6">
        <v>1.4390954139161607</v>
      </c>
      <c r="AC139" s="3">
        <v>45.632258420606227</v>
      </c>
      <c r="AD139" s="4">
        <v>6398631.3769310834</v>
      </c>
      <c r="AE139" s="5">
        <v>2.640577435964309E-2</v>
      </c>
      <c r="AL139" s="7">
        <v>-0.99124784836023438</v>
      </c>
      <c r="AN139" s="7">
        <v>-0.99157114441525762</v>
      </c>
      <c r="AO139" s="7">
        <v>-0.98769817823281814</v>
      </c>
      <c r="AP139" s="7">
        <v>-0.28854833004375879</v>
      </c>
      <c r="AQ139" s="7">
        <v>-0.31482866974804691</v>
      </c>
      <c r="AR139" s="7">
        <v>3.8355865962202751E-2</v>
      </c>
      <c r="AS139" s="7">
        <v>-0.99178808116005956</v>
      </c>
      <c r="AT139" s="8">
        <v>-0.16299152483884616</v>
      </c>
    </row>
    <row r="140" spans="1:46" x14ac:dyDescent="0.3">
      <c r="A140" t="str">
        <f t="shared" si="17"/>
        <v>202302 &amp; Segm Valeur &gt; Non affecté</v>
      </c>
      <c r="B140">
        <v>202302</v>
      </c>
      <c r="C140" t="s">
        <v>33</v>
      </c>
      <c r="D140" t="s">
        <v>34</v>
      </c>
      <c r="E140" s="4">
        <v>0</v>
      </c>
      <c r="F140" s="4">
        <v>1794688.0403603613</v>
      </c>
      <c r="H140" s="2">
        <v>37677.252252252249</v>
      </c>
      <c r="I140" s="2">
        <v>39198.75</v>
      </c>
      <c r="J140" s="3">
        <v>45.784318131582289</v>
      </c>
      <c r="K140" s="6">
        <v>0.96118504422340634</v>
      </c>
      <c r="L140" s="3">
        <v>47.633198629899546</v>
      </c>
      <c r="M140" s="53">
        <v>7.7666015504524533E-3</v>
      </c>
      <c r="N140" s="53">
        <v>1.0431013509724203E-2</v>
      </c>
      <c r="O140" s="4">
        <v>56957.559256756729</v>
      </c>
      <c r="P140" s="5">
        <v>3.1736746429379466E-2</v>
      </c>
      <c r="V140" s="4">
        <v>0</v>
      </c>
      <c r="W140" s="4">
        <v>208933185.35959435</v>
      </c>
      <c r="Y140" s="2">
        <v>4700363.2882882878</v>
      </c>
      <c r="Z140" s="2">
        <v>3591186.75</v>
      </c>
      <c r="AA140" s="3">
        <v>58.179426441577938</v>
      </c>
      <c r="AB140" s="6">
        <v>1.3088607236280005</v>
      </c>
      <c r="AC140" s="3">
        <v>44.450433412282202</v>
      </c>
      <c r="AD140" s="4">
        <v>5360731.7924069762</v>
      </c>
      <c r="AE140" s="5">
        <v>2.5657636833424213E-2</v>
      </c>
      <c r="AL140" s="7">
        <v>-0.99141022984323179</v>
      </c>
      <c r="AN140" s="7">
        <v>-0.99198418293621449</v>
      </c>
      <c r="AO140" s="7">
        <v>-0.98908473640364147</v>
      </c>
      <c r="AP140" s="7">
        <v>-0.21304968213192077</v>
      </c>
      <c r="AQ140" s="7">
        <v>-0.26563229618570883</v>
      </c>
      <c r="AR140" s="7">
        <v>7.1602568823050161E-2</v>
      </c>
      <c r="AS140" s="7">
        <v>-0.98937504030001422</v>
      </c>
      <c r="AT140" s="8">
        <v>0.60791095959552532</v>
      </c>
    </row>
    <row r="141" spans="1:46" x14ac:dyDescent="0.3">
      <c r="A141" t="str">
        <f t="shared" si="17"/>
        <v>202408 &amp; Segm Valeur &gt; Non affecté</v>
      </c>
      <c r="B141">
        <v>202408</v>
      </c>
      <c r="C141" t="s">
        <v>33</v>
      </c>
      <c r="D141" t="s">
        <v>34</v>
      </c>
      <c r="E141" s="4">
        <v>0</v>
      </c>
      <c r="F141" s="4">
        <v>2152905.5138738728</v>
      </c>
      <c r="H141" s="2">
        <v>36796.171171171169</v>
      </c>
      <c r="I141" s="2">
        <v>37126.5</v>
      </c>
      <c r="J141" s="3">
        <v>57.988377947661988</v>
      </c>
      <c r="K141" s="6">
        <v>0.99110261325929372</v>
      </c>
      <c r="L141" s="3">
        <v>58.508954745830124</v>
      </c>
      <c r="M141" s="53">
        <v>7.1768213740908329E-3</v>
      </c>
      <c r="N141" s="53">
        <v>9.0606565397634183E-3</v>
      </c>
      <c r="O141" s="4">
        <v>82638.728122747678</v>
      </c>
      <c r="P141" s="5">
        <v>3.838474451860642E-2</v>
      </c>
      <c r="V141" s="4">
        <v>0</v>
      </c>
      <c r="W141" s="4">
        <v>2272241.3239189172</v>
      </c>
      <c r="Y141" s="2">
        <v>40671.62162162162</v>
      </c>
      <c r="Z141" s="2">
        <v>42429.75</v>
      </c>
      <c r="AA141" s="3">
        <v>53.553021734017221</v>
      </c>
      <c r="AB141" s="6">
        <v>0.9585637818186914</v>
      </c>
      <c r="AC141" s="3">
        <v>55.867979522875999</v>
      </c>
      <c r="AD141" s="4">
        <v>72941.935990991013</v>
      </c>
      <c r="AE141" s="5">
        <v>3.2101315658315997E-2</v>
      </c>
      <c r="AL141" s="7">
        <v>-5.2518985896809034E-2</v>
      </c>
      <c r="AN141" s="7">
        <v>-9.5286351906613054E-2</v>
      </c>
      <c r="AO141" s="7">
        <v>-0.12498895232708185</v>
      </c>
      <c r="AP141" s="7">
        <v>8.2821773077043748E-2</v>
      </c>
      <c r="AQ141" s="7">
        <v>3.3945400460328345E-2</v>
      </c>
      <c r="AR141" s="7">
        <v>4.7271715310068352E-2</v>
      </c>
      <c r="AS141" s="7">
        <v>0.13293850786952377</v>
      </c>
      <c r="AT141" s="8">
        <v>0.62834288602904231</v>
      </c>
    </row>
    <row r="142" spans="1:46" x14ac:dyDescent="0.3">
      <c r="A142" t="str">
        <f t="shared" si="17"/>
        <v>202401 &amp; Segm Valeur &gt; Non affecté</v>
      </c>
      <c r="B142">
        <v>202401</v>
      </c>
      <c r="C142" t="s">
        <v>33</v>
      </c>
      <c r="D142" t="s">
        <v>34</v>
      </c>
      <c r="E142" s="4">
        <v>0</v>
      </c>
      <c r="F142" s="4">
        <v>2031334.5870720712</v>
      </c>
      <c r="H142" s="2">
        <v>40845.720720720718</v>
      </c>
      <c r="I142" s="2">
        <v>40737</v>
      </c>
      <c r="J142" s="3">
        <v>49.864609251345733</v>
      </c>
      <c r="K142" s="6">
        <v>1.0026688445570542</v>
      </c>
      <c r="L142" s="3">
        <v>49.731882587190853</v>
      </c>
      <c r="M142" s="53">
        <v>7.5721042199683357E-3</v>
      </c>
      <c r="N142" s="53">
        <v>1.0338431552810872E-2</v>
      </c>
      <c r="O142" s="4">
        <v>86011.235427927924</v>
      </c>
      <c r="P142" s="5">
        <v>4.2342229574253917E-2</v>
      </c>
      <c r="V142" s="4">
        <v>0</v>
      </c>
      <c r="W142" s="4">
        <v>2031274.9042342326</v>
      </c>
      <c r="Y142" s="2">
        <v>43973.423423423417</v>
      </c>
      <c r="Z142" s="2">
        <v>44676</v>
      </c>
      <c r="AA142" s="3">
        <v>45.466803300076833</v>
      </c>
      <c r="AB142" s="6">
        <v>0.98427395969700548</v>
      </c>
      <c r="AC142" s="3">
        <v>46.193240054906191</v>
      </c>
      <c r="AD142" s="4">
        <v>70442.31878378379</v>
      </c>
      <c r="AE142" s="5">
        <v>3.4678870219360947E-2</v>
      </c>
      <c r="AL142" s="7">
        <v>2.9381959927743395E-5</v>
      </c>
      <c r="AN142" s="7">
        <v>-7.1127114043084916E-2</v>
      </c>
      <c r="AO142" s="7">
        <v>-8.8168143969916679E-2</v>
      </c>
      <c r="AP142" s="7">
        <v>9.6725646671127929E-2</v>
      </c>
      <c r="AQ142" s="7">
        <v>1.8688785453301326E-2</v>
      </c>
      <c r="AR142" s="7">
        <v>7.6605203014089573E-2</v>
      </c>
      <c r="AS142" s="7">
        <v>0.22101652689672946</v>
      </c>
      <c r="AT142" s="8">
        <v>0.76633593548929713</v>
      </c>
    </row>
    <row r="143" spans="1:46" x14ac:dyDescent="0.3">
      <c r="A143" t="str">
        <f t="shared" si="17"/>
        <v>202311 &amp; Segm Valeur &gt; Non affecté</v>
      </c>
      <c r="B143">
        <v>202311</v>
      </c>
      <c r="C143" t="s">
        <v>33</v>
      </c>
      <c r="D143" t="s">
        <v>34</v>
      </c>
      <c r="E143" s="4">
        <v>0</v>
      </c>
      <c r="F143" s="4">
        <v>2310780.1920720711</v>
      </c>
      <c r="H143" s="2">
        <v>42199.549549549549</v>
      </c>
      <c r="I143" s="2">
        <v>41800.5</v>
      </c>
      <c r="J143" s="3">
        <v>55.281161518930901</v>
      </c>
      <c r="K143" s="6">
        <v>1.009546525748485</v>
      </c>
      <c r="L143" s="3">
        <v>54.758408957868539</v>
      </c>
      <c r="M143" s="53">
        <v>8.5118110280213762E-3</v>
      </c>
      <c r="N143" s="53">
        <v>1.0646117359050786E-2</v>
      </c>
      <c r="O143" s="4">
        <v>231018.09846846844</v>
      </c>
      <c r="P143" s="5">
        <v>9.997406904432353E-2</v>
      </c>
      <c r="V143" s="4">
        <v>0</v>
      </c>
      <c r="W143" s="4">
        <v>249169521.93112594</v>
      </c>
      <c r="Y143" s="2">
        <v>5270052.9279279271</v>
      </c>
      <c r="Z143" s="2">
        <v>3766113.75</v>
      </c>
      <c r="AA143" s="3">
        <v>66.160912407684435</v>
      </c>
      <c r="AB143" s="6">
        <v>1.3993345070705649</v>
      </c>
      <c r="AC143" s="3">
        <v>47.280269351885636</v>
      </c>
      <c r="AD143" s="4">
        <v>10384547.769527012</v>
      </c>
      <c r="AE143" s="5">
        <v>4.1676637210860207E-2</v>
      </c>
      <c r="AL143" s="7">
        <v>-0.99072607205663454</v>
      </c>
      <c r="AN143" s="7">
        <v>-0.99199257576220556</v>
      </c>
      <c r="AO143" s="7">
        <v>-0.98890089286336613</v>
      </c>
      <c r="AP143" s="7">
        <v>-0.1644437855045342</v>
      </c>
      <c r="AQ143" s="7">
        <v>-0.27855239712345914</v>
      </c>
      <c r="AR143" s="7">
        <v>0.15816618027969542</v>
      </c>
      <c r="AS143" s="7">
        <v>-0.97775366789236784</v>
      </c>
      <c r="AT143" s="8">
        <v>5.8297431833463325</v>
      </c>
    </row>
    <row r="144" spans="1:46" x14ac:dyDescent="0.3">
      <c r="A144" t="str">
        <f t="shared" si="17"/>
        <v>202307 &amp; Segm Valeur &gt; Non affecté</v>
      </c>
      <c r="B144">
        <v>202307</v>
      </c>
      <c r="C144" t="s">
        <v>33</v>
      </c>
      <c r="D144" t="s">
        <v>34</v>
      </c>
      <c r="E144" s="4">
        <v>0</v>
      </c>
      <c r="F144" s="4">
        <v>2168447.2731081075</v>
      </c>
      <c r="H144" s="2">
        <v>39287.16216216216</v>
      </c>
      <c r="I144" s="2">
        <v>39113.25</v>
      </c>
      <c r="J144" s="3">
        <v>55.440222254814095</v>
      </c>
      <c r="K144" s="6">
        <v>1.0044463746214431</v>
      </c>
      <c r="L144" s="3">
        <v>55.194805472525573</v>
      </c>
      <c r="M144" s="53">
        <v>7.8644548749482891E-3</v>
      </c>
      <c r="N144" s="53">
        <v>9.9703514390678868E-3</v>
      </c>
      <c r="O144" s="4">
        <v>32008.928986486466</v>
      </c>
      <c r="P144" s="5">
        <v>1.4761220797684882E-2</v>
      </c>
      <c r="V144" s="4">
        <v>0</v>
      </c>
      <c r="W144" s="4">
        <v>250652518.72072053</v>
      </c>
      <c r="Y144" s="2">
        <v>5354706.5315315314</v>
      </c>
      <c r="Z144" s="2">
        <v>3727943.25</v>
      </c>
      <c r="AA144" s="3">
        <v>67.236141194134461</v>
      </c>
      <c r="AB144" s="6">
        <v>1.4363701838893421</v>
      </c>
      <c r="AC144" s="3">
        <v>46.809758339647033</v>
      </c>
      <c r="AD144" s="4">
        <v>4834895.7273560641</v>
      </c>
      <c r="AE144" s="5">
        <v>1.9289236557575359E-2</v>
      </c>
      <c r="AL144" s="7">
        <v>-0.99134879121033603</v>
      </c>
      <c r="AN144" s="7">
        <v>-0.99266305969695678</v>
      </c>
      <c r="AO144" s="7">
        <v>-0.9895080886759744</v>
      </c>
      <c r="AP144" s="7">
        <v>-0.17544015361115661</v>
      </c>
      <c r="AQ144" s="7">
        <v>-0.3007050787550839</v>
      </c>
      <c r="AR144" s="7">
        <v>0.1791303230415644</v>
      </c>
      <c r="AS144" s="7">
        <v>-0.99337960303768735</v>
      </c>
      <c r="AT144" s="8">
        <v>-0.45280157598904769</v>
      </c>
    </row>
    <row r="145" spans="1:46" x14ac:dyDescent="0.3">
      <c r="A145" t="str">
        <f t="shared" si="17"/>
        <v>202309 &amp; Segm Valeur &gt; Non affecté</v>
      </c>
      <c r="B145">
        <v>202309</v>
      </c>
      <c r="C145" t="s">
        <v>33</v>
      </c>
      <c r="D145" t="s">
        <v>34</v>
      </c>
      <c r="E145" s="4">
        <v>0</v>
      </c>
      <c r="F145" s="4">
        <v>2284244.1134234243</v>
      </c>
      <c r="H145" s="2">
        <v>42202.7027027027</v>
      </c>
      <c r="I145" s="2">
        <v>45153.75</v>
      </c>
      <c r="J145" s="3">
        <v>50.588137495189756</v>
      </c>
      <c r="K145" s="6">
        <v>0.93464446923461952</v>
      </c>
      <c r="L145" s="3">
        <v>54.125540952076022</v>
      </c>
      <c r="M145" s="53">
        <v>8.5121152549730763E-3</v>
      </c>
      <c r="N145" s="53">
        <v>1.1556132418440059E-2</v>
      </c>
      <c r="O145" s="4">
        <v>59691.120202702674</v>
      </c>
      <c r="P145" s="5">
        <v>2.6131672990608201E-2</v>
      </c>
      <c r="V145" s="4">
        <v>0</v>
      </c>
      <c r="W145" s="4">
        <v>243415582.41477448</v>
      </c>
      <c r="Y145" s="2">
        <v>5288111.7117117113</v>
      </c>
      <c r="Z145" s="2">
        <v>3738714</v>
      </c>
      <c r="AA145" s="3">
        <v>65.106767304151774</v>
      </c>
      <c r="AB145" s="6">
        <v>1.41441996143907</v>
      </c>
      <c r="AC145" s="3">
        <v>46.030718654387726</v>
      </c>
      <c r="AD145" s="4">
        <v>6906327.2168371473</v>
      </c>
      <c r="AE145" s="5">
        <v>2.8372576432140348E-2</v>
      </c>
      <c r="AL145" s="7">
        <v>-0.99061586735424711</v>
      </c>
      <c r="AN145" s="7">
        <v>-0.99201932466569587</v>
      </c>
      <c r="AO145" s="7">
        <v>-0.98792265201349982</v>
      </c>
      <c r="AP145" s="7">
        <v>-0.22299724606409976</v>
      </c>
      <c r="AQ145" s="7">
        <v>-0.33920299860326741</v>
      </c>
      <c r="AR145" s="7">
        <v>0.17585696105391313</v>
      </c>
      <c r="AS145" s="7">
        <v>-0.9913570385056214</v>
      </c>
      <c r="AT145" s="8">
        <v>-0.22409034415321466</v>
      </c>
    </row>
    <row r="146" spans="1:46" x14ac:dyDescent="0.3">
      <c r="A146" t="str">
        <f t="shared" si="17"/>
        <v>202310 &amp; Segm Valeur &gt; Non affecté</v>
      </c>
      <c r="B146">
        <v>202310</v>
      </c>
      <c r="C146" t="s">
        <v>33</v>
      </c>
      <c r="D146" t="s">
        <v>34</v>
      </c>
      <c r="E146" s="4">
        <v>0</v>
      </c>
      <c r="F146" s="4">
        <v>2126424.4810360349</v>
      </c>
      <c r="H146" s="2">
        <v>42338.063063063062</v>
      </c>
      <c r="I146" s="2">
        <v>43015.5</v>
      </c>
      <c r="J146" s="3">
        <v>49.433912915949712</v>
      </c>
      <c r="K146" s="6">
        <v>0.98425132947572536</v>
      </c>
      <c r="L146" s="3">
        <v>50.224888131247283</v>
      </c>
      <c r="M146" s="53">
        <v>8.0272349012008165E-3</v>
      </c>
      <c r="N146" s="53">
        <v>1.0948823594205145E-2</v>
      </c>
      <c r="O146" s="4">
        <v>53485.832657657658</v>
      </c>
      <c r="P146" s="5">
        <v>2.5152942479103858E-2</v>
      </c>
      <c r="V146" s="4">
        <v>0</v>
      </c>
      <c r="W146" s="4">
        <v>249586970.87999988</v>
      </c>
      <c r="Y146" s="2">
        <v>5436410.1351351347</v>
      </c>
      <c r="Z146" s="2">
        <v>3768668.25</v>
      </c>
      <c r="AA146" s="3">
        <v>66.22683513731937</v>
      </c>
      <c r="AB146" s="6">
        <v>1.4425281756055697</v>
      </c>
      <c r="AC146" s="3">
        <v>45.91025413386987</v>
      </c>
      <c r="AD146" s="4">
        <v>7049791.6368693886</v>
      </c>
      <c r="AE146" s="5">
        <v>2.8245831951936674E-2</v>
      </c>
      <c r="AL146" s="7">
        <v>-0.99148022641751432</v>
      </c>
      <c r="AN146" s="7">
        <v>-0.99221212859025565</v>
      </c>
      <c r="AO146" s="7">
        <v>-0.98858602106990978</v>
      </c>
      <c r="AP146" s="7">
        <v>-0.25356673297991716</v>
      </c>
      <c r="AQ146" s="7">
        <v>-0.31769004854096583</v>
      </c>
      <c r="AR146" s="7">
        <v>9.3979745457220876E-2</v>
      </c>
      <c r="AS146" s="7">
        <v>-0.99241313283956722</v>
      </c>
      <c r="AT146" s="8">
        <v>-0.3092889472832816</v>
      </c>
    </row>
    <row r="147" spans="1:46" x14ac:dyDescent="0.3">
      <c r="A147" t="str">
        <f t="shared" si="17"/>
        <v>202305 &amp; Segm Valeur &gt; Non affecté</v>
      </c>
      <c r="B147">
        <v>202305</v>
      </c>
      <c r="C147" t="s">
        <v>33</v>
      </c>
      <c r="D147" t="s">
        <v>34</v>
      </c>
      <c r="E147" s="4">
        <v>0</v>
      </c>
      <c r="F147" s="4">
        <v>2265903.6546396408</v>
      </c>
      <c r="H147" s="2">
        <v>42906.756756756753</v>
      </c>
      <c r="I147" s="2">
        <v>43781.25</v>
      </c>
      <c r="J147" s="3">
        <v>51.755115594909711</v>
      </c>
      <c r="K147" s="6">
        <v>0.98002585026139621</v>
      </c>
      <c r="L147" s="3">
        <v>52.80994943256384</v>
      </c>
      <c r="M147" s="53">
        <v>8.4405616423762573E-3</v>
      </c>
      <c r="N147" s="53">
        <v>1.1256926746187975E-2</v>
      </c>
      <c r="O147" s="4">
        <v>57536.362162162157</v>
      </c>
      <c r="P147" s="5">
        <v>2.5392236798926247E-2</v>
      </c>
      <c r="V147" s="4">
        <v>0</v>
      </c>
      <c r="W147" s="4">
        <v>237628034.19139624</v>
      </c>
      <c r="Y147" s="2">
        <v>5204086.036036036</v>
      </c>
      <c r="Z147" s="2">
        <v>3710301.75</v>
      </c>
      <c r="AA147" s="3">
        <v>64.045473981030312</v>
      </c>
      <c r="AB147" s="6">
        <v>1.4026045283341271</v>
      </c>
      <c r="AC147" s="3">
        <v>45.66181891420036</v>
      </c>
      <c r="AD147" s="4">
        <v>5635260.8865765836</v>
      </c>
      <c r="AE147" s="5">
        <v>2.3714629907840304E-2</v>
      </c>
      <c r="AL147" s="7">
        <v>-0.99046449354197585</v>
      </c>
      <c r="AN147" s="7">
        <v>-0.99175517920732936</v>
      </c>
      <c r="AO147" s="7">
        <v>-0.98820008372634383</v>
      </c>
      <c r="AP147" s="7">
        <v>-0.19190049853891145</v>
      </c>
      <c r="AQ147" s="7">
        <v>-0.30128141577770851</v>
      </c>
      <c r="AR147" s="7">
        <v>0.15654502357418099</v>
      </c>
      <c r="AS147" s="7">
        <v>-0.98978993815544258</v>
      </c>
      <c r="AT147" s="8">
        <v>0.16776068910859426</v>
      </c>
    </row>
    <row r="148" spans="1:46" x14ac:dyDescent="0.3">
      <c r="A148" t="str">
        <f t="shared" si="17"/>
        <v>202301 &amp; Segm Valeur &gt; Non affecté</v>
      </c>
      <c r="B148">
        <v>202301</v>
      </c>
      <c r="C148" t="s">
        <v>33</v>
      </c>
      <c r="D148" t="s">
        <v>34</v>
      </c>
      <c r="E148" s="4">
        <v>0</v>
      </c>
      <c r="F148" s="4">
        <v>2031274.9042342326</v>
      </c>
      <c r="H148" s="2">
        <v>43973.423423423417</v>
      </c>
      <c r="I148" s="2">
        <v>44676</v>
      </c>
      <c r="J148" s="3">
        <v>45.466803300076833</v>
      </c>
      <c r="K148" s="6">
        <v>0.98427395969700548</v>
      </c>
      <c r="L148" s="3">
        <v>46.193240054906191</v>
      </c>
      <c r="M148" s="53">
        <v>8.2388208581798163E-3</v>
      </c>
      <c r="N148" s="53">
        <v>1.1847128133468733E-2</v>
      </c>
      <c r="O148" s="4">
        <v>70442.31878378379</v>
      </c>
      <c r="P148" s="5">
        <v>3.4678870219360947E-2</v>
      </c>
      <c r="V148" s="4">
        <v>0</v>
      </c>
      <c r="W148" s="4">
        <v>224643511.30531505</v>
      </c>
      <c r="Y148" s="2">
        <v>5000592.1171171162</v>
      </c>
      <c r="Z148" s="2">
        <v>3613990.5</v>
      </c>
      <c r="AA148" s="3">
        <v>62.159408361841308</v>
      </c>
      <c r="AB148" s="6">
        <v>1.3836760547979072</v>
      </c>
      <c r="AC148" s="3">
        <v>44.92338228034162</v>
      </c>
      <c r="AD148" s="4">
        <v>7469359.291463987</v>
      </c>
      <c r="AE148" s="5">
        <v>3.3249833249411387E-2</v>
      </c>
      <c r="AL148" s="7">
        <v>-0.99095778510391286</v>
      </c>
      <c r="AN148" s="7">
        <v>-0.99120635668866064</v>
      </c>
      <c r="AO148" s="7">
        <v>-0.98763804166059654</v>
      </c>
      <c r="AP148" s="7">
        <v>-0.2685451084829148</v>
      </c>
      <c r="AQ148" s="7">
        <v>-0.28865289221127444</v>
      </c>
      <c r="AR148" s="7">
        <v>2.826718982644949E-2</v>
      </c>
      <c r="AS148" s="7">
        <v>-0.99056916182030696</v>
      </c>
      <c r="AT148" s="8">
        <v>0.14290369699495598</v>
      </c>
    </row>
    <row r="149" spans="1:46" x14ac:dyDescent="0.3">
      <c r="A149" t="str">
        <f t="shared" si="17"/>
        <v>202310 &amp; Segm Valeur &gt; Nouveaux clients</v>
      </c>
      <c r="B149">
        <v>202310</v>
      </c>
      <c r="C149" t="s">
        <v>33</v>
      </c>
      <c r="D149" t="s">
        <v>64</v>
      </c>
      <c r="E149" s="4">
        <v>0</v>
      </c>
      <c r="F149" s="4">
        <v>5685081.9680180177</v>
      </c>
      <c r="H149" s="2">
        <v>140062.6126126126</v>
      </c>
      <c r="I149" s="2">
        <v>130200</v>
      </c>
      <c r="J149" s="3">
        <v>43.664224024715956</v>
      </c>
      <c r="K149" s="6">
        <v>1.075749712846487</v>
      </c>
      <c r="L149" s="3">
        <v>40.589575347576215</v>
      </c>
      <c r="M149" s="53">
        <v>2.1461137602980931E-2</v>
      </c>
      <c r="N149" s="53">
        <v>3.3140073507584702E-2</v>
      </c>
      <c r="O149" s="4">
        <v>161303.74036036039</v>
      </c>
      <c r="P149" s="5">
        <v>2.8373160012079034E-2</v>
      </c>
    </row>
    <row r="150" spans="1:46" x14ac:dyDescent="0.3">
      <c r="A150" t="str">
        <f t="shared" si="17"/>
        <v>202304 &amp; Segm Valeur &gt; Nouveaux clients</v>
      </c>
      <c r="B150">
        <v>202304</v>
      </c>
      <c r="C150" t="s">
        <v>33</v>
      </c>
      <c r="D150" t="s">
        <v>64</v>
      </c>
      <c r="E150" s="4">
        <v>0</v>
      </c>
      <c r="F150" s="4">
        <v>6698117.5346846832</v>
      </c>
      <c r="H150" s="2">
        <v>158881.75675675675</v>
      </c>
      <c r="I150" s="2">
        <v>150498</v>
      </c>
      <c r="J150" s="3">
        <v>44.506355796652997</v>
      </c>
      <c r="K150" s="6">
        <v>1.0557067652510781</v>
      </c>
      <c r="L150" s="3">
        <v>42.157876847618837</v>
      </c>
      <c r="M150" s="53">
        <v>2.4342400006740549E-2</v>
      </c>
      <c r="N150" s="53">
        <v>3.8247212427332505E-2</v>
      </c>
      <c r="O150" s="4">
        <v>154515.74565315308</v>
      </c>
      <c r="P150" s="5">
        <v>2.306853303977249E-2</v>
      </c>
    </row>
    <row r="151" spans="1:46" x14ac:dyDescent="0.3">
      <c r="A151" t="str">
        <f t="shared" si="17"/>
        <v>202212 &amp; Segm Valeur &gt; Nouveaux clients</v>
      </c>
      <c r="B151">
        <v>202212</v>
      </c>
      <c r="C151" t="s">
        <v>33</v>
      </c>
      <c r="D151" t="s">
        <v>64</v>
      </c>
      <c r="E151" s="4">
        <v>0</v>
      </c>
      <c r="F151" s="4">
        <v>6957972.4636486499</v>
      </c>
      <c r="H151" s="2">
        <v>155720.72072072071</v>
      </c>
      <c r="I151" s="2">
        <v>137887.5</v>
      </c>
      <c r="J151" s="3">
        <v>50.461227186283381</v>
      </c>
      <c r="K151" s="6">
        <v>1.1293316705337373</v>
      </c>
      <c r="L151" s="3">
        <v>44.68238029881401</v>
      </c>
      <c r="M151" s="53">
        <v>2.1743959201893526E-2</v>
      </c>
      <c r="N151" s="53">
        <v>3.5054783466879E-2</v>
      </c>
      <c r="O151" s="4">
        <v>238797.85020270283</v>
      </c>
      <c r="P151" s="5">
        <v>3.4320033810177085E-2</v>
      </c>
    </row>
    <row r="152" spans="1:46" x14ac:dyDescent="0.3">
      <c r="A152" t="str">
        <f t="shared" si="17"/>
        <v>202306 &amp; Segm Valeur &gt; Nouveaux clients</v>
      </c>
      <c r="B152">
        <v>202306</v>
      </c>
      <c r="C152" t="s">
        <v>33</v>
      </c>
      <c r="D152" t="s">
        <v>64</v>
      </c>
      <c r="E152" s="4">
        <v>0</v>
      </c>
      <c r="F152" s="4">
        <v>5561769.5082882857</v>
      </c>
      <c r="H152" s="2">
        <v>136909.23423423423</v>
      </c>
      <c r="I152" s="2">
        <v>127503</v>
      </c>
      <c r="J152" s="3">
        <v>43.620695264333278</v>
      </c>
      <c r="K152" s="6">
        <v>1.0737726503237903</v>
      </c>
      <c r="L152" s="3">
        <v>40.62377194202115</v>
      </c>
      <c r="M152" s="53">
        <v>2.001543684239819E-2</v>
      </c>
      <c r="N152" s="53">
        <v>3.2588749056625836E-2</v>
      </c>
      <c r="O152" s="4">
        <v>138182.12114864856</v>
      </c>
      <c r="P152" s="5">
        <v>2.4844992397244466E-2</v>
      </c>
    </row>
    <row r="153" spans="1:46" x14ac:dyDescent="0.3">
      <c r="A153" t="str">
        <f t="shared" si="17"/>
        <v>202303 &amp; Segm Valeur &gt; Nouveaux clients</v>
      </c>
      <c r="B153">
        <v>202303</v>
      </c>
      <c r="C153" t="s">
        <v>33</v>
      </c>
      <c r="D153" t="s">
        <v>64</v>
      </c>
      <c r="E153" s="4">
        <v>0</v>
      </c>
      <c r="F153" s="4">
        <v>6735743.0537837837</v>
      </c>
      <c r="H153" s="2">
        <v>169520.72072072071</v>
      </c>
      <c r="I153" s="2">
        <v>152936.25</v>
      </c>
      <c r="J153" s="3">
        <v>44.04281557697265</v>
      </c>
      <c r="K153" s="6">
        <v>1.1084404169758362</v>
      </c>
      <c r="L153" s="3">
        <v>39.734039739488118</v>
      </c>
      <c r="M153" s="53">
        <v>2.5366172428006855E-2</v>
      </c>
      <c r="N153" s="53">
        <v>3.9530047702027012E-2</v>
      </c>
      <c r="O153" s="4">
        <v>202210.65581081086</v>
      </c>
      <c r="P153" s="5">
        <v>3.0020541786732739E-2</v>
      </c>
    </row>
    <row r="154" spans="1:46" x14ac:dyDescent="0.3">
      <c r="A154" t="str">
        <f t="shared" si="17"/>
        <v>202307 &amp; Segm Valeur &gt; Nouveaux clients</v>
      </c>
      <c r="B154">
        <v>202307</v>
      </c>
      <c r="C154" t="s">
        <v>33</v>
      </c>
      <c r="D154" t="s">
        <v>64</v>
      </c>
      <c r="E154" s="4">
        <v>0</v>
      </c>
      <c r="F154" s="4">
        <v>5558307.3613513475</v>
      </c>
      <c r="H154" s="2">
        <v>128955.85585585584</v>
      </c>
      <c r="I154" s="2">
        <v>118843.5</v>
      </c>
      <c r="J154" s="3">
        <v>46.769973632140989</v>
      </c>
      <c r="K154" s="6">
        <v>1.0850896839613091</v>
      </c>
      <c r="L154" s="3">
        <v>43.102403721505347</v>
      </c>
      <c r="M154" s="53">
        <v>2.0158690490908356E-2</v>
      </c>
      <c r="N154" s="53">
        <v>3.0294374956028058E-2</v>
      </c>
      <c r="O154" s="4">
        <v>92243.010427927889</v>
      </c>
      <c r="P154" s="5">
        <v>1.659552169952357E-2</v>
      </c>
    </row>
    <row r="155" spans="1:46" x14ac:dyDescent="0.3">
      <c r="A155" t="str">
        <f t="shared" si="17"/>
        <v>202305 &amp; Segm Valeur &gt; Nouveaux clients</v>
      </c>
      <c r="B155">
        <v>202305</v>
      </c>
      <c r="C155" t="s">
        <v>33</v>
      </c>
      <c r="D155" t="s">
        <v>64</v>
      </c>
      <c r="E155" s="4">
        <v>0</v>
      </c>
      <c r="F155" s="4">
        <v>5726818.2038288293</v>
      </c>
      <c r="H155" s="2">
        <v>138286.03603603604</v>
      </c>
      <c r="I155" s="2">
        <v>132561.75</v>
      </c>
      <c r="J155" s="3">
        <v>43.201136103203446</v>
      </c>
      <c r="K155" s="6">
        <v>1.0431820343050393</v>
      </c>
      <c r="L155" s="3">
        <v>41.412845201061913</v>
      </c>
      <c r="M155" s="53">
        <v>2.1332576063030847E-2</v>
      </c>
      <c r="N155" s="53">
        <v>3.408394938692897E-2</v>
      </c>
      <c r="O155" s="4">
        <v>127497.00011261264</v>
      </c>
      <c r="P155" s="5">
        <v>2.2263147802975631E-2</v>
      </c>
    </row>
    <row r="156" spans="1:46" x14ac:dyDescent="0.3">
      <c r="A156" t="str">
        <f t="shared" si="17"/>
        <v>202309 &amp; Segm Valeur &gt; Nouveaux clients</v>
      </c>
      <c r="B156">
        <v>202309</v>
      </c>
      <c r="C156" t="s">
        <v>33</v>
      </c>
      <c r="D156" t="s">
        <v>64</v>
      </c>
      <c r="E156" s="4">
        <v>0</v>
      </c>
      <c r="F156" s="4">
        <v>5356841.5222522514</v>
      </c>
      <c r="H156" s="2">
        <v>130259.68468468467</v>
      </c>
      <c r="I156" s="2">
        <v>119424.75</v>
      </c>
      <c r="J156" s="3">
        <v>44.855371455684448</v>
      </c>
      <c r="K156" s="6">
        <v>1.0907260403281955</v>
      </c>
      <c r="L156" s="3">
        <v>41.124324346549592</v>
      </c>
      <c r="M156" s="53">
        <v>1.9961987500406963E-2</v>
      </c>
      <c r="N156" s="53">
        <v>3.0564199541324905E-2</v>
      </c>
      <c r="O156" s="4">
        <v>156709.44939189198</v>
      </c>
      <c r="P156" s="5">
        <v>2.9254076070931521E-2</v>
      </c>
    </row>
    <row r="157" spans="1:46" x14ac:dyDescent="0.3">
      <c r="A157" t="str">
        <f t="shared" si="17"/>
        <v>202301 &amp; Segm Valeur &gt; Nouveaux clients</v>
      </c>
      <c r="B157">
        <v>202301</v>
      </c>
      <c r="C157" t="s">
        <v>33</v>
      </c>
      <c r="D157" t="s">
        <v>64</v>
      </c>
      <c r="E157" s="4">
        <v>0</v>
      </c>
      <c r="F157" s="4">
        <v>5932681.2500450471</v>
      </c>
      <c r="H157" s="2">
        <v>147170.94594594595</v>
      </c>
      <c r="I157" s="2">
        <v>136080.75</v>
      </c>
      <c r="J157" s="3">
        <v>43.596770667747251</v>
      </c>
      <c r="K157" s="6">
        <v>1.0814971694816933</v>
      </c>
      <c r="L157" s="3">
        <v>40.311497707054535</v>
      </c>
      <c r="M157" s="53">
        <v>2.4062867082104773E-2</v>
      </c>
      <c r="N157" s="53">
        <v>3.6085730185077568E-2</v>
      </c>
      <c r="O157" s="4">
        <v>224432.59443693716</v>
      </c>
      <c r="P157" s="5">
        <v>3.7829875730342501E-2</v>
      </c>
    </row>
    <row r="158" spans="1:46" x14ac:dyDescent="0.3">
      <c r="A158" t="str">
        <f t="shared" si="17"/>
        <v>202311 &amp; Segm Valeur &gt; Nouveaux clients</v>
      </c>
      <c r="B158">
        <v>202311</v>
      </c>
      <c r="C158" t="s">
        <v>33</v>
      </c>
      <c r="D158" t="s">
        <v>64</v>
      </c>
      <c r="E158" s="4">
        <v>0</v>
      </c>
      <c r="F158" s="4">
        <v>6323857.1446846845</v>
      </c>
      <c r="H158" s="2">
        <v>149553.60360360358</v>
      </c>
      <c r="I158" s="2">
        <v>143484</v>
      </c>
      <c r="J158" s="3">
        <v>44.073605033904023</v>
      </c>
      <c r="K158" s="6">
        <v>1.0423016057790666</v>
      </c>
      <c r="L158" s="3">
        <v>42.284886437415857</v>
      </c>
      <c r="M158" s="53">
        <v>2.3294070621010431E-2</v>
      </c>
      <c r="N158" s="53">
        <v>3.6543761513523593E-2</v>
      </c>
      <c r="O158" s="4">
        <v>354997.10211711703</v>
      </c>
      <c r="P158" s="5">
        <v>5.6136167214893284E-2</v>
      </c>
    </row>
    <row r="159" spans="1:46" x14ac:dyDescent="0.3">
      <c r="A159" t="str">
        <f t="shared" si="17"/>
        <v>202308 &amp; Segm Valeur &gt; Nouveaux clients</v>
      </c>
      <c r="B159">
        <v>202308</v>
      </c>
      <c r="C159" t="s">
        <v>33</v>
      </c>
      <c r="D159" t="s">
        <v>64</v>
      </c>
      <c r="E159" s="4">
        <v>0</v>
      </c>
      <c r="F159" s="4">
        <v>5537418.8136036033</v>
      </c>
      <c r="H159" s="2">
        <v>127626.57657657657</v>
      </c>
      <c r="I159" s="2">
        <v>115927.5</v>
      </c>
      <c r="J159" s="3">
        <v>47.766222972147276</v>
      </c>
      <c r="K159" s="6">
        <v>1.1009171816572993</v>
      </c>
      <c r="L159" s="3">
        <v>43.387662367337143</v>
      </c>
      <c r="M159" s="53">
        <v>2.0059852004835853E-2</v>
      </c>
      <c r="N159" s="53">
        <v>2.9612347795367699E-2</v>
      </c>
      <c r="O159" s="4">
        <v>152935.17448198196</v>
      </c>
      <c r="P159" s="5">
        <v>2.761849512019407E-2</v>
      </c>
    </row>
    <row r="160" spans="1:46" x14ac:dyDescent="0.3">
      <c r="A160" t="str">
        <f t="shared" si="17"/>
        <v>202302 &amp; Segm Valeur &gt; Nouveaux clients</v>
      </c>
      <c r="B160">
        <v>202302</v>
      </c>
      <c r="C160" t="s">
        <v>33</v>
      </c>
      <c r="D160" t="s">
        <v>64</v>
      </c>
      <c r="E160" s="4">
        <v>0</v>
      </c>
      <c r="F160" s="4">
        <v>5573695.6028378364</v>
      </c>
      <c r="H160" s="2">
        <v>139204.95495495494</v>
      </c>
      <c r="I160" s="2">
        <v>135296.25</v>
      </c>
      <c r="J160" s="3">
        <v>41.196231254287063</v>
      </c>
      <c r="K160" s="6">
        <v>1.0288899725968379</v>
      </c>
      <c r="L160" s="3">
        <v>40.039491443687602</v>
      </c>
      <c r="M160" s="53">
        <v>2.4120444298530171E-2</v>
      </c>
      <c r="N160" s="53">
        <v>3.6003112639179137E-2</v>
      </c>
      <c r="O160" s="4">
        <v>147602.52845968472</v>
      </c>
      <c r="P160" s="5">
        <v>2.6481985916944079E-2</v>
      </c>
    </row>
    <row r="161" spans="1:46" x14ac:dyDescent="0.3">
      <c r="A161" t="str">
        <f t="shared" si="17"/>
        <v>202404 &amp; Segm Valeur &gt; Nouveaux clients</v>
      </c>
      <c r="B161">
        <v>202404</v>
      </c>
      <c r="C161" t="s">
        <v>33</v>
      </c>
      <c r="D161" t="s">
        <v>64</v>
      </c>
      <c r="E161" s="4">
        <v>0</v>
      </c>
      <c r="F161" s="4">
        <v>6486664.3664414426</v>
      </c>
      <c r="H161" s="2">
        <v>158566.89189189186</v>
      </c>
      <c r="I161" s="2">
        <v>150936.75</v>
      </c>
      <c r="J161" s="3">
        <v>42.976043716599456</v>
      </c>
      <c r="K161" s="6">
        <v>1.0505519158978305</v>
      </c>
      <c r="L161" s="3">
        <v>40.908062768007944</v>
      </c>
      <c r="M161" s="53">
        <v>2.3851361791460839E-2</v>
      </c>
      <c r="N161" s="53">
        <v>3.7430525344915866E-2</v>
      </c>
      <c r="O161" s="4">
        <v>172993.16932432432</v>
      </c>
      <c r="P161" s="5">
        <v>2.6669048921245119E-2</v>
      </c>
      <c r="V161" s="4">
        <v>0</v>
      </c>
      <c r="W161" s="4">
        <v>6698117.5346846832</v>
      </c>
      <c r="Y161" s="2">
        <v>158881.75675675675</v>
      </c>
      <c r="Z161" s="2">
        <v>150498</v>
      </c>
      <c r="AA161" s="3">
        <v>44.506355796652997</v>
      </c>
      <c r="AB161" s="6">
        <v>1.0557067652510781</v>
      </c>
      <c r="AC161" s="3">
        <v>42.157876847618837</v>
      </c>
      <c r="AD161" s="4">
        <v>154515.74565315308</v>
      </c>
      <c r="AE161" s="5">
        <v>2.306853303977249E-2</v>
      </c>
      <c r="AL161" s="7">
        <v>-3.1569044160285054E-2</v>
      </c>
      <c r="AN161" s="7">
        <v>-1.9817559378256799E-3</v>
      </c>
      <c r="AO161" s="7">
        <v>2.9153211338357465E-3</v>
      </c>
      <c r="AP161" s="7">
        <v>-3.4384124529212134E-2</v>
      </c>
      <c r="AQ161" s="7">
        <v>-4.8828420191298072E-3</v>
      </c>
      <c r="AR161" s="7">
        <v>-2.9646039437146943E-2</v>
      </c>
      <c r="AS161" s="7">
        <v>0.11958278810399148</v>
      </c>
      <c r="AT161" s="8">
        <v>0.36005158814726296</v>
      </c>
    </row>
    <row r="162" spans="1:46" x14ac:dyDescent="0.3">
      <c r="A162" t="str">
        <f t="shared" si="17"/>
        <v>202405 &amp; Segm Valeur &gt; Nouveaux clients</v>
      </c>
      <c r="B162">
        <v>202405</v>
      </c>
      <c r="C162" t="s">
        <v>33</v>
      </c>
      <c r="D162" t="s">
        <v>64</v>
      </c>
      <c r="E162" s="4">
        <v>0</v>
      </c>
      <c r="F162" s="4">
        <v>6192677.4727477459</v>
      </c>
      <c r="H162" s="2">
        <v>145007.20720720719</v>
      </c>
      <c r="I162" s="2">
        <v>139244.25</v>
      </c>
      <c r="J162" s="3">
        <v>44.473487937546764</v>
      </c>
      <c r="K162" s="6">
        <v>1.0413873980951256</v>
      </c>
      <c r="L162" s="3">
        <v>42.705997805328089</v>
      </c>
      <c r="M162" s="53">
        <v>2.1742741365467288E-2</v>
      </c>
      <c r="N162" s="53">
        <v>3.4381824757676829E-2</v>
      </c>
      <c r="O162" s="4">
        <v>145900.47876126133</v>
      </c>
      <c r="P162" s="5">
        <v>2.3560161077874446E-2</v>
      </c>
      <c r="V162" s="4">
        <v>0</v>
      </c>
      <c r="W162" s="4">
        <v>5726818.2038288293</v>
      </c>
      <c r="Y162" s="2">
        <v>138286.03603603604</v>
      </c>
      <c r="Z162" s="2">
        <v>132561.75</v>
      </c>
      <c r="AA162" s="3">
        <v>43.201136103203446</v>
      </c>
      <c r="AB162" s="6">
        <v>1.0431820343050393</v>
      </c>
      <c r="AC162" s="3">
        <v>41.412845201061913</v>
      </c>
      <c r="AD162" s="4">
        <v>127497.00011261264</v>
      </c>
      <c r="AE162" s="5">
        <v>2.2263147802975631E-2</v>
      </c>
      <c r="AL162" s="7">
        <v>8.1346963067109979E-2</v>
      </c>
      <c r="AN162" s="7">
        <v>4.8603397449469732E-2</v>
      </c>
      <c r="AO162" s="7">
        <v>5.0410469083276288E-2</v>
      </c>
      <c r="AP162" s="7">
        <v>2.9451814213954597E-2</v>
      </c>
      <c r="AQ162" s="7">
        <v>-1.7203480801021298E-3</v>
      </c>
      <c r="AR162" s="7">
        <v>3.1225881679653789E-2</v>
      </c>
      <c r="AS162" s="7">
        <v>0.14434440522046543</v>
      </c>
      <c r="AT162" s="8">
        <v>0.1297013274898815</v>
      </c>
    </row>
    <row r="163" spans="1:46" x14ac:dyDescent="0.3">
      <c r="A163" t="str">
        <f t="shared" si="17"/>
        <v>202412 &amp; Segm Valeur &gt; Nouveaux clients</v>
      </c>
      <c r="B163">
        <v>202412</v>
      </c>
      <c r="C163" t="s">
        <v>33</v>
      </c>
      <c r="D163" t="s">
        <v>64</v>
      </c>
      <c r="E163" s="4">
        <v>0</v>
      </c>
      <c r="F163" s="4">
        <v>8505179.9155405406</v>
      </c>
      <c r="H163" s="2">
        <v>199096.6216216216</v>
      </c>
      <c r="I163" s="2">
        <v>180482.25</v>
      </c>
      <c r="J163" s="3">
        <v>47.12474448617823</v>
      </c>
      <c r="K163" s="6">
        <v>1.103136854852051</v>
      </c>
      <c r="L163" s="3">
        <v>42.718856032145204</v>
      </c>
      <c r="M163" s="53">
        <v>2.5099289186879231E-2</v>
      </c>
      <c r="N163" s="53">
        <v>4.2392466834174483E-2</v>
      </c>
      <c r="O163" s="4">
        <v>257995.50605855841</v>
      </c>
      <c r="P163" s="5">
        <v>3.0333926926948692E-2</v>
      </c>
      <c r="V163" s="4">
        <v>0</v>
      </c>
      <c r="W163" s="4">
        <v>7774717.2625225224</v>
      </c>
      <c r="Y163" s="2">
        <v>172444.14414414414</v>
      </c>
      <c r="Z163" s="2">
        <v>158586.75</v>
      </c>
      <c r="AA163" s="3">
        <v>49.025011626270938</v>
      </c>
      <c r="AB163" s="6">
        <v>1.0873805292317558</v>
      </c>
      <c r="AC163" s="3">
        <v>45.085423463401128</v>
      </c>
      <c r="AD163" s="4">
        <v>277180.15614864859</v>
      </c>
      <c r="AE163" s="5">
        <v>3.5651477319281567E-2</v>
      </c>
      <c r="AL163" s="7">
        <v>9.3953597070232098E-2</v>
      </c>
      <c r="AN163" s="7">
        <v>0.15455716173927558</v>
      </c>
      <c r="AO163" s="7">
        <v>0.1380663895312817</v>
      </c>
      <c r="AP163" s="7">
        <v>-3.8761176735232383E-2</v>
      </c>
      <c r="AQ163" s="7">
        <v>1.4490167146387289E-2</v>
      </c>
      <c r="AR163" s="7">
        <v>-5.2490744224173103E-2</v>
      </c>
      <c r="AS163" s="7">
        <v>-6.9213649189957427E-2</v>
      </c>
      <c r="AT163" s="8">
        <v>-0.53175503923328749</v>
      </c>
    </row>
    <row r="164" spans="1:46" x14ac:dyDescent="0.3">
      <c r="A164" t="str">
        <f t="shared" si="17"/>
        <v>202401 &amp; Segm Valeur &gt; Nouveaux clients</v>
      </c>
      <c r="B164">
        <v>202401</v>
      </c>
      <c r="C164" t="s">
        <v>33</v>
      </c>
      <c r="D164" t="s">
        <v>64</v>
      </c>
      <c r="E164" s="4">
        <v>0</v>
      </c>
      <c r="F164" s="4">
        <v>6592990.9022522531</v>
      </c>
      <c r="H164" s="2">
        <v>161802.47747747746</v>
      </c>
      <c r="I164" s="2">
        <v>155325.75</v>
      </c>
      <c r="J164" s="3">
        <v>42.446219652905285</v>
      </c>
      <c r="K164" s="6">
        <v>1.0416977061271391</v>
      </c>
      <c r="L164" s="3">
        <v>40.74715668782008</v>
      </c>
      <c r="M164" s="53">
        <v>2.4576362038473912E-2</v>
      </c>
      <c r="N164" s="53">
        <v>3.9419314990402174E-2</v>
      </c>
      <c r="O164" s="4">
        <v>263838.91490990989</v>
      </c>
      <c r="P164" s="5">
        <v>4.00180917616281E-2</v>
      </c>
      <c r="V164" s="4">
        <v>0</v>
      </c>
      <c r="W164" s="4">
        <v>5932681.2500450471</v>
      </c>
      <c r="Y164" s="2">
        <v>147170.94594594595</v>
      </c>
      <c r="Z164" s="2">
        <v>136080.75</v>
      </c>
      <c r="AA164" s="3">
        <v>43.596770667747251</v>
      </c>
      <c r="AB164" s="6">
        <v>1.0814971694816933</v>
      </c>
      <c r="AC164" s="3">
        <v>40.311497707054535</v>
      </c>
      <c r="AD164" s="4">
        <v>224432.59443693716</v>
      </c>
      <c r="AE164" s="5">
        <v>3.7829875730342501E-2</v>
      </c>
      <c r="AL164" s="7">
        <v>0.11130037572846052</v>
      </c>
      <c r="AN164" s="7">
        <v>9.9418614438378849E-2</v>
      </c>
      <c r="AO164" s="7">
        <v>0.14142338280763433</v>
      </c>
      <c r="AP164" s="7">
        <v>-2.6390739433669541E-2</v>
      </c>
      <c r="AQ164" s="7">
        <v>-3.6800339823014117E-2</v>
      </c>
      <c r="AR164" s="7">
        <v>1.0807313187207734E-2</v>
      </c>
      <c r="AS164" s="7">
        <v>0.17558198519175172</v>
      </c>
      <c r="AT164" s="8">
        <v>0.21882160312855989</v>
      </c>
    </row>
    <row r="165" spans="1:46" x14ac:dyDescent="0.3">
      <c r="A165" t="str">
        <f t="shared" si="17"/>
        <v>202411 &amp; Segm Valeur &gt; Nouveaux clients</v>
      </c>
      <c r="B165">
        <v>202411</v>
      </c>
      <c r="C165" t="s">
        <v>33</v>
      </c>
      <c r="D165" t="s">
        <v>64</v>
      </c>
      <c r="E165" s="4">
        <v>0</v>
      </c>
      <c r="F165" s="4">
        <v>7286771.417432433</v>
      </c>
      <c r="H165" s="2">
        <v>180891.21621621621</v>
      </c>
      <c r="I165" s="2">
        <v>167240.25</v>
      </c>
      <c r="J165" s="3">
        <v>43.570680009342446</v>
      </c>
      <c r="K165" s="6">
        <v>1.0816248852546932</v>
      </c>
      <c r="L165" s="3">
        <v>40.282616092993031</v>
      </c>
      <c r="M165" s="53">
        <v>2.4707132604420763E-2</v>
      </c>
      <c r="N165" s="53">
        <v>4.0598156772640712E-2</v>
      </c>
      <c r="O165" s="4">
        <v>312754.13063063059</v>
      </c>
      <c r="P165" s="5">
        <v>4.2920809877803556E-2</v>
      </c>
      <c r="V165" s="4">
        <v>0</v>
      </c>
      <c r="W165" s="4">
        <v>6323857.1446846845</v>
      </c>
      <c r="Y165" s="2">
        <v>149553.60360360358</v>
      </c>
      <c r="Z165" s="2">
        <v>143484</v>
      </c>
      <c r="AA165" s="3">
        <v>44.073605033904023</v>
      </c>
      <c r="AB165" s="6">
        <v>1.0423016057790666</v>
      </c>
      <c r="AC165" s="3">
        <v>42.284886437415857</v>
      </c>
      <c r="AD165" s="4">
        <v>354997.10211711703</v>
      </c>
      <c r="AE165" s="5">
        <v>5.6136167214893284E-2</v>
      </c>
      <c r="AL165" s="7">
        <v>0.1522669236064409</v>
      </c>
      <c r="AN165" s="7">
        <v>0.20954100641850082</v>
      </c>
      <c r="AO165" s="7">
        <v>0.1655672409467257</v>
      </c>
      <c r="AP165" s="7">
        <v>-1.1411025355758775E-2</v>
      </c>
      <c r="AQ165" s="7">
        <v>3.7727351908121154E-2</v>
      </c>
      <c r="AR165" s="7">
        <v>-4.7351914906672454E-2</v>
      </c>
      <c r="AS165" s="7">
        <v>-0.11899525724170579</v>
      </c>
      <c r="AT165" s="8">
        <v>-1.3215357337089728</v>
      </c>
    </row>
    <row r="166" spans="1:46" x14ac:dyDescent="0.3">
      <c r="A166" t="str">
        <f t="shared" si="17"/>
        <v>202408 &amp; Segm Valeur &gt; Nouveaux clients</v>
      </c>
      <c r="B166">
        <v>202408</v>
      </c>
      <c r="C166" t="s">
        <v>33</v>
      </c>
      <c r="D166" t="s">
        <v>64</v>
      </c>
      <c r="E166" s="4">
        <v>0</v>
      </c>
      <c r="F166" s="4">
        <v>6437203.7404054031</v>
      </c>
      <c r="H166" s="2">
        <v>142735.13513513512</v>
      </c>
      <c r="I166" s="2">
        <v>136209.75</v>
      </c>
      <c r="J166" s="3">
        <v>47.259493100937362</v>
      </c>
      <c r="K166" s="6">
        <v>1.047906887246582</v>
      </c>
      <c r="L166" s="3">
        <v>45.09894311804134</v>
      </c>
      <c r="M166" s="53">
        <v>2.1458750091819166E-2</v>
      </c>
      <c r="N166" s="53">
        <v>3.3241748134541102E-2</v>
      </c>
      <c r="O166" s="4">
        <v>177956.95502477465</v>
      </c>
      <c r="P166" s="5">
        <v>2.7645071090070431E-2</v>
      </c>
      <c r="V166" s="4">
        <v>0</v>
      </c>
      <c r="W166" s="4">
        <v>5537418.8136036033</v>
      </c>
      <c r="Y166" s="2">
        <v>127626.57657657657</v>
      </c>
      <c r="Z166" s="2">
        <v>115927.5</v>
      </c>
      <c r="AA166" s="3">
        <v>47.766222972147276</v>
      </c>
      <c r="AB166" s="6">
        <v>1.1009171816572993</v>
      </c>
      <c r="AC166" s="3">
        <v>43.387662367337143</v>
      </c>
      <c r="AD166" s="4">
        <v>152935.17448198196</v>
      </c>
      <c r="AE166" s="5">
        <v>2.761849512019407E-2</v>
      </c>
      <c r="AL166" s="7">
        <v>0.16249175962477791</v>
      </c>
      <c r="AN166" s="7">
        <v>0.11838097490214627</v>
      </c>
      <c r="AO166" s="7">
        <v>0.17495633046516135</v>
      </c>
      <c r="AP166" s="7">
        <v>-1.0608539668405248E-2</v>
      </c>
      <c r="AQ166" s="7">
        <v>-4.8151028337042323E-2</v>
      </c>
      <c r="AR166" s="7">
        <v>3.9441644406094545E-2</v>
      </c>
      <c r="AS166" s="7">
        <v>0.16361037039089155</v>
      </c>
      <c r="AT166" s="8">
        <v>2.6575969876360683E-3</v>
      </c>
    </row>
    <row r="167" spans="1:46" x14ac:dyDescent="0.3">
      <c r="A167" t="str">
        <f t="shared" si="17"/>
        <v>202407 &amp; Segm Valeur &gt; Nouveaux clients</v>
      </c>
      <c r="B167">
        <v>202407</v>
      </c>
      <c r="C167" t="s">
        <v>33</v>
      </c>
      <c r="D167" t="s">
        <v>64</v>
      </c>
      <c r="E167" s="4">
        <v>0</v>
      </c>
      <c r="F167" s="4">
        <v>4886861.972027028</v>
      </c>
      <c r="H167" s="2">
        <v>110453.37837837837</v>
      </c>
      <c r="I167" s="2">
        <v>105876</v>
      </c>
      <c r="J167" s="3">
        <v>46.15646579042491</v>
      </c>
      <c r="K167" s="6">
        <v>1.0432333897991837</v>
      </c>
      <c r="L167" s="3">
        <v>44.243662292394383</v>
      </c>
      <c r="M167" s="53">
        <v>1.7015337844878971E-2</v>
      </c>
      <c r="N167" s="53">
        <v>2.601380555284773E-2</v>
      </c>
      <c r="O167" s="4">
        <v>96080.33466216216</v>
      </c>
      <c r="P167" s="5">
        <v>1.9660947088773386E-2</v>
      </c>
      <c r="V167" s="4">
        <v>0</v>
      </c>
      <c r="W167" s="4">
        <v>5558307.3613513475</v>
      </c>
      <c r="Y167" s="2">
        <v>128955.85585585584</v>
      </c>
      <c r="Z167" s="2">
        <v>118843.5</v>
      </c>
      <c r="AA167" s="3">
        <v>46.769973632140989</v>
      </c>
      <c r="AB167" s="6">
        <v>1.0850896839613091</v>
      </c>
      <c r="AC167" s="3">
        <v>43.102403721505347</v>
      </c>
      <c r="AD167" s="4">
        <v>92243.010427927889</v>
      </c>
      <c r="AE167" s="5">
        <v>1.659552169952357E-2</v>
      </c>
      <c r="AL167" s="7">
        <v>-0.12080033464739459</v>
      </c>
      <c r="AN167" s="7">
        <v>-0.1434791569152094</v>
      </c>
      <c r="AO167" s="7">
        <v>-0.10911408701359349</v>
      </c>
      <c r="AP167" s="7">
        <v>-1.3117557998674312E-2</v>
      </c>
      <c r="AQ167" s="7">
        <v>-3.8574041188302322E-2</v>
      </c>
      <c r="AR167" s="7">
        <v>2.6477840499638416E-2</v>
      </c>
      <c r="AS167" s="7">
        <v>4.1600162618635306E-2</v>
      </c>
      <c r="AT167" s="8">
        <v>0.30654253892498162</v>
      </c>
    </row>
    <row r="168" spans="1:46" x14ac:dyDescent="0.3">
      <c r="A168" t="str">
        <f t="shared" si="17"/>
        <v>202409 &amp; Segm Valeur &gt; Nouveaux clients</v>
      </c>
      <c r="B168">
        <v>202409</v>
      </c>
      <c r="C168" t="s">
        <v>33</v>
      </c>
      <c r="D168" t="s">
        <v>64</v>
      </c>
      <c r="E168" s="4">
        <v>0</v>
      </c>
      <c r="F168" s="4">
        <v>5527355.0587387346</v>
      </c>
      <c r="H168" s="2">
        <v>139149.54954954953</v>
      </c>
      <c r="I168" s="2">
        <v>135208.5</v>
      </c>
      <c r="J168" s="3">
        <v>40.880233555869154</v>
      </c>
      <c r="K168" s="6">
        <v>1.0291479422488197</v>
      </c>
      <c r="L168" s="3">
        <v>39.722407126948752</v>
      </c>
      <c r="M168" s="53">
        <v>2.1028199609196985E-2</v>
      </c>
      <c r="N168" s="53">
        <v>3.3548768890931793E-2</v>
      </c>
      <c r="O168" s="4">
        <v>168336.40603603612</v>
      </c>
      <c r="P168" s="5">
        <v>3.0455146131764536E-2</v>
      </c>
      <c r="V168" s="4">
        <v>0</v>
      </c>
      <c r="W168" s="4">
        <v>5356841.5222522514</v>
      </c>
      <c r="Y168" s="2">
        <v>130259.68468468467</v>
      </c>
      <c r="Z168" s="2">
        <v>119424.75</v>
      </c>
      <c r="AA168" s="3">
        <v>44.855371455684448</v>
      </c>
      <c r="AB168" s="6">
        <v>1.0907260403281955</v>
      </c>
      <c r="AC168" s="3">
        <v>41.124324346549592</v>
      </c>
      <c r="AD168" s="4">
        <v>156709.44939189198</v>
      </c>
      <c r="AE168" s="5">
        <v>2.9254076070931521E-2</v>
      </c>
      <c r="AL168" s="7">
        <v>3.1830983944209024E-2</v>
      </c>
      <c r="AN168" s="7">
        <v>6.824724692359152E-2</v>
      </c>
      <c r="AO168" s="7">
        <v>0.13216481508230071</v>
      </c>
      <c r="AP168" s="7">
        <v>-8.8621223519296688E-2</v>
      </c>
      <c r="AQ168" s="7">
        <v>-5.6456063028299197E-2</v>
      </c>
      <c r="AR168" s="7">
        <v>-3.408973258228043E-2</v>
      </c>
      <c r="AS168" s="7">
        <v>7.4194355791959765E-2</v>
      </c>
      <c r="AT168" s="8">
        <v>0.12010700608330142</v>
      </c>
    </row>
    <row r="169" spans="1:46" x14ac:dyDescent="0.3">
      <c r="A169" t="str">
        <f t="shared" si="17"/>
        <v>202312 &amp; Segm Valeur &gt; Nouveaux clients</v>
      </c>
      <c r="B169">
        <v>202312</v>
      </c>
      <c r="C169" t="s">
        <v>33</v>
      </c>
      <c r="D169" t="s">
        <v>64</v>
      </c>
      <c r="E169" s="4">
        <v>0</v>
      </c>
      <c r="F169" s="4">
        <v>7774717.2625225224</v>
      </c>
      <c r="H169" s="2">
        <v>172444.14414414414</v>
      </c>
      <c r="I169" s="2">
        <v>158586.75</v>
      </c>
      <c r="J169" s="3">
        <v>49.025011626270938</v>
      </c>
      <c r="K169" s="6">
        <v>1.0873805292317558</v>
      </c>
      <c r="L169" s="3">
        <v>45.085423463401128</v>
      </c>
      <c r="M169" s="53">
        <v>2.284128462160882E-2</v>
      </c>
      <c r="N169" s="53">
        <v>3.8649397764776584E-2</v>
      </c>
      <c r="O169" s="4">
        <v>277180.15614864859</v>
      </c>
      <c r="P169" s="5">
        <v>3.5651477319281567E-2</v>
      </c>
      <c r="V169" s="4">
        <v>0</v>
      </c>
      <c r="W169" s="4">
        <v>6957972.4636486499</v>
      </c>
      <c r="Y169" s="2">
        <v>155720.72072072071</v>
      </c>
      <c r="Z169" s="2">
        <v>137887.5</v>
      </c>
      <c r="AA169" s="3">
        <v>50.461227186283381</v>
      </c>
      <c r="AB169" s="6">
        <v>1.1293316705337373</v>
      </c>
      <c r="AC169" s="3">
        <v>44.68238029881401</v>
      </c>
      <c r="AD169" s="4">
        <v>238797.85020270283</v>
      </c>
      <c r="AE169" s="5">
        <v>3.4320033810177085E-2</v>
      </c>
      <c r="AL169" s="7">
        <v>0.11738258568007964</v>
      </c>
      <c r="AN169" s="7">
        <v>0.10739369395429565</v>
      </c>
      <c r="AO169" s="7">
        <v>0.15011694316018498</v>
      </c>
      <c r="AP169" s="7">
        <v>-2.8461764409939749E-2</v>
      </c>
      <c r="AQ169" s="7">
        <v>-3.7146874028738508E-2</v>
      </c>
      <c r="AR169" s="7">
        <v>9.0201811517596209E-3</v>
      </c>
      <c r="AS169" s="7">
        <v>0.1607313713811287</v>
      </c>
      <c r="AT169" s="8">
        <v>0.13314435091044824</v>
      </c>
    </row>
    <row r="170" spans="1:46" x14ac:dyDescent="0.3">
      <c r="A170" t="str">
        <f t="shared" si="17"/>
        <v>202402 &amp; Segm Valeur &gt; Nouveaux clients</v>
      </c>
      <c r="B170">
        <v>202402</v>
      </c>
      <c r="C170" t="s">
        <v>33</v>
      </c>
      <c r="D170" t="s">
        <v>64</v>
      </c>
      <c r="E170" s="4">
        <v>0</v>
      </c>
      <c r="F170" s="4">
        <v>6351631.115855854</v>
      </c>
      <c r="H170" s="2">
        <v>158234.45945945944</v>
      </c>
      <c r="I170" s="2">
        <v>156153</v>
      </c>
      <c r="J170" s="3">
        <v>40.675690610208285</v>
      </c>
      <c r="K170" s="6">
        <v>1.0133296155658837</v>
      </c>
      <c r="L170" s="3">
        <v>40.140631424744605</v>
      </c>
      <c r="M170" s="53">
        <v>2.456905893765873E-2</v>
      </c>
      <c r="N170" s="53">
        <v>3.9439440311675462E-2</v>
      </c>
      <c r="O170" s="4">
        <v>174887.40772522529</v>
      </c>
      <c r="P170" s="5">
        <v>2.7534251365550214E-2</v>
      </c>
      <c r="V170" s="4">
        <v>0</v>
      </c>
      <c r="W170" s="4">
        <v>5573695.6028378364</v>
      </c>
      <c r="Y170" s="2">
        <v>139204.95495495494</v>
      </c>
      <c r="Z170" s="2">
        <v>135296.25</v>
      </c>
      <c r="AA170" s="3">
        <v>41.196231254287063</v>
      </c>
      <c r="AB170" s="6">
        <v>1.0288899725968379</v>
      </c>
      <c r="AC170" s="3">
        <v>40.039491443687602</v>
      </c>
      <c r="AD170" s="4">
        <v>147602.52845968472</v>
      </c>
      <c r="AE170" s="5">
        <v>2.6481985916944079E-2</v>
      </c>
      <c r="AL170" s="7">
        <v>0.13957265851079725</v>
      </c>
      <c r="AN170" s="7">
        <v>0.1367013445079035</v>
      </c>
      <c r="AO170" s="7">
        <v>0.15415615732143362</v>
      </c>
      <c r="AP170" s="7">
        <v>-1.2635637489888274E-2</v>
      </c>
      <c r="AQ170" s="7">
        <v>-1.5123441228298673E-2</v>
      </c>
      <c r="AR170" s="7">
        <v>2.5260056361917638E-3</v>
      </c>
      <c r="AS170" s="7">
        <v>0.18485373895876722</v>
      </c>
      <c r="AT170" s="8">
        <v>0.1052265448606135</v>
      </c>
    </row>
    <row r="171" spans="1:46" x14ac:dyDescent="0.3">
      <c r="A171" t="str">
        <f t="shared" si="17"/>
        <v>202410 &amp; Segm Valeur &gt; Nouveaux clients</v>
      </c>
      <c r="B171">
        <v>202410</v>
      </c>
      <c r="C171" t="s">
        <v>33</v>
      </c>
      <c r="D171" t="s">
        <v>64</v>
      </c>
      <c r="E171" s="4">
        <v>0</v>
      </c>
      <c r="F171" s="4">
        <v>6433919.6309008999</v>
      </c>
      <c r="H171" s="2">
        <v>166573.1981981982</v>
      </c>
      <c r="I171" s="2">
        <v>151413.75</v>
      </c>
      <c r="J171" s="3">
        <v>42.492307540767598</v>
      </c>
      <c r="K171" s="6">
        <v>1.1001193629917903</v>
      </c>
      <c r="L171" s="3">
        <v>38.625179203472214</v>
      </c>
      <c r="M171" s="53">
        <v>2.2324812815841255E-2</v>
      </c>
      <c r="N171" s="53">
        <v>3.6693454212018133E-2</v>
      </c>
      <c r="O171" s="4">
        <v>199342.8423423424</v>
      </c>
      <c r="P171" s="5">
        <v>3.0983110417627288E-2</v>
      </c>
      <c r="V171" s="4">
        <v>0</v>
      </c>
      <c r="W171" s="4">
        <v>5685081.9680180177</v>
      </c>
      <c r="Y171" s="2">
        <v>140062.6126126126</v>
      </c>
      <c r="Z171" s="2">
        <v>130200</v>
      </c>
      <c r="AA171" s="3">
        <v>43.664224024715956</v>
      </c>
      <c r="AB171" s="6">
        <v>1.075749712846487</v>
      </c>
      <c r="AC171" s="3">
        <v>40.589575347576215</v>
      </c>
      <c r="AD171" s="4">
        <v>161303.74036036039</v>
      </c>
      <c r="AE171" s="5">
        <v>2.8373160012079034E-2</v>
      </c>
      <c r="AL171" s="7">
        <v>0.13171976536055974</v>
      </c>
      <c r="AN171" s="7">
        <v>0.18927667484619182</v>
      </c>
      <c r="AO171" s="7">
        <v>0.16293202764976966</v>
      </c>
      <c r="AP171" s="7">
        <v>-2.6839283420793225E-2</v>
      </c>
      <c r="AQ171" s="7">
        <v>2.2653643179527228E-2</v>
      </c>
      <c r="AR171" s="7">
        <v>-4.8396568017342045E-2</v>
      </c>
      <c r="AS171" s="7">
        <v>0.23582281413314288</v>
      </c>
      <c r="AT171" s="8">
        <v>0.26099504055482547</v>
      </c>
    </row>
    <row r="172" spans="1:46" x14ac:dyDescent="0.3">
      <c r="A172" t="str">
        <f t="shared" si="17"/>
        <v>202406 &amp; Segm Valeur &gt; Nouveaux clients</v>
      </c>
      <c r="B172">
        <v>202406</v>
      </c>
      <c r="C172" t="s">
        <v>33</v>
      </c>
      <c r="D172" t="s">
        <v>64</v>
      </c>
      <c r="E172" s="4">
        <v>0</v>
      </c>
      <c r="F172" s="4">
        <v>5759643.9195945952</v>
      </c>
      <c r="H172" s="2">
        <v>137906.75675675675</v>
      </c>
      <c r="I172" s="2">
        <v>132367.5</v>
      </c>
      <c r="J172" s="3">
        <v>43.512523237158632</v>
      </c>
      <c r="K172" s="6">
        <v>1.0418475589306797</v>
      </c>
      <c r="L172" s="3">
        <v>41.764769580895837</v>
      </c>
      <c r="M172" s="53">
        <v>2.0728469797300177E-2</v>
      </c>
      <c r="N172" s="53">
        <v>3.2783444258485638E-2</v>
      </c>
      <c r="O172" s="4">
        <v>159678.22180180179</v>
      </c>
      <c r="P172" s="5">
        <v>2.7723627368450424E-2</v>
      </c>
      <c r="V172" s="4">
        <v>0</v>
      </c>
      <c r="W172" s="4">
        <v>5561769.5082882857</v>
      </c>
      <c r="Y172" s="2">
        <v>136909.23423423423</v>
      </c>
      <c r="Z172" s="2">
        <v>127503</v>
      </c>
      <c r="AA172" s="3">
        <v>43.620695264333278</v>
      </c>
      <c r="AB172" s="6">
        <v>1.0737726503237903</v>
      </c>
      <c r="AC172" s="3">
        <v>40.62377194202115</v>
      </c>
      <c r="AD172" s="4">
        <v>138182.12114864856</v>
      </c>
      <c r="AE172" s="5">
        <v>2.4844992397244466E-2</v>
      </c>
      <c r="AL172" s="7">
        <v>3.5577600080591631E-2</v>
      </c>
      <c r="AN172" s="7">
        <v>7.2860134533794252E-3</v>
      </c>
      <c r="AO172" s="7">
        <v>3.8152043481329834E-2</v>
      </c>
      <c r="AP172" s="7">
        <v>-2.479832715162944E-3</v>
      </c>
      <c r="AQ172" s="7">
        <v>-2.9731704736085218E-2</v>
      </c>
      <c r="AR172" s="7">
        <v>2.8086944769755373E-2</v>
      </c>
      <c r="AS172" s="7">
        <v>0.15556354522904559</v>
      </c>
      <c r="AT172" s="8">
        <v>0.28786349712059572</v>
      </c>
    </row>
    <row r="173" spans="1:46" x14ac:dyDescent="0.3">
      <c r="A173" t="str">
        <f t="shared" si="17"/>
        <v>202403 &amp; Segm Valeur &gt; Nouveaux clients</v>
      </c>
      <c r="B173">
        <v>202403</v>
      </c>
      <c r="C173" t="s">
        <v>33</v>
      </c>
      <c r="D173" t="s">
        <v>64</v>
      </c>
      <c r="E173" s="4">
        <v>0</v>
      </c>
      <c r="F173" s="4">
        <v>6985106.9182882831</v>
      </c>
      <c r="H173" s="2">
        <v>169089.41441441441</v>
      </c>
      <c r="I173" s="2">
        <v>156806.25</v>
      </c>
      <c r="J173" s="3">
        <v>44.546100160473728</v>
      </c>
      <c r="K173" s="6">
        <v>1.0783333854002275</v>
      </c>
      <c r="L173" s="3">
        <v>41.310137257727838</v>
      </c>
      <c r="M173" s="53">
        <v>2.4249465432842909E-2</v>
      </c>
      <c r="N173" s="53">
        <v>3.8711284087037667E-2</v>
      </c>
      <c r="O173" s="4">
        <v>188513.63022522524</v>
      </c>
      <c r="P173" s="5">
        <v>2.6987937683768618E-2</v>
      </c>
      <c r="V173" s="4">
        <v>0</v>
      </c>
      <c r="W173" s="4">
        <v>6735743.0537837837</v>
      </c>
      <c r="Y173" s="2">
        <v>169520.72072072071</v>
      </c>
      <c r="Z173" s="2">
        <v>152936.25</v>
      </c>
      <c r="AA173" s="3">
        <v>44.04281557697265</v>
      </c>
      <c r="AB173" s="6">
        <v>1.1084404169758362</v>
      </c>
      <c r="AC173" s="3">
        <v>39.734039739488118</v>
      </c>
      <c r="AD173" s="4">
        <v>202210.65581081086</v>
      </c>
      <c r="AE173" s="5">
        <v>3.0020541786732739E-2</v>
      </c>
      <c r="AL173" s="7">
        <v>3.7020988258217535E-2</v>
      </c>
      <c r="AN173" s="7">
        <v>-2.5442689511500083E-3</v>
      </c>
      <c r="AO173" s="7">
        <v>2.5304661255915351E-2</v>
      </c>
      <c r="AP173" s="7">
        <v>1.1427166426758006E-2</v>
      </c>
      <c r="AQ173" s="7">
        <v>-2.7161614746735618E-2</v>
      </c>
      <c r="AR173" s="7">
        <v>3.9666178636082128E-2</v>
      </c>
      <c r="AS173" s="7">
        <v>-6.7736418393304687E-2</v>
      </c>
      <c r="AT173" s="8">
        <v>-0.3032604102964121</v>
      </c>
    </row>
    <row r="174" spans="1:46" x14ac:dyDescent="0.3">
      <c r="A174" t="str">
        <f t="shared" si="17"/>
        <v>202301 &amp; Segm Valeur &gt; Petits acheteurs</v>
      </c>
      <c r="B174">
        <v>202301</v>
      </c>
      <c r="C174" t="s">
        <v>33</v>
      </c>
      <c r="D174" t="s">
        <v>65</v>
      </c>
      <c r="E174" s="4">
        <v>0</v>
      </c>
      <c r="F174" s="4">
        <v>22566931.042252257</v>
      </c>
      <c r="H174" s="2">
        <v>778111.03603603598</v>
      </c>
      <c r="I174" s="2">
        <v>1060776.75</v>
      </c>
      <c r="J174" s="3">
        <v>21.273968384254516</v>
      </c>
      <c r="K174" s="6">
        <v>0.73352949716897164</v>
      </c>
      <c r="L174" s="3">
        <v>29.002198911373792</v>
      </c>
      <c r="M174" s="53">
        <v>9.1531137311079536E-2</v>
      </c>
      <c r="N174" s="53">
        <v>0.28129550716837964</v>
      </c>
      <c r="O174" s="4">
        <v>615705.13583333348</v>
      </c>
      <c r="P174" s="5">
        <v>2.7283512085916489E-2</v>
      </c>
    </row>
    <row r="175" spans="1:46" x14ac:dyDescent="0.3">
      <c r="A175" t="str">
        <f t="shared" si="17"/>
        <v>202311 &amp; Segm Valeur &gt; Petits acheteurs</v>
      </c>
      <c r="B175">
        <v>202311</v>
      </c>
      <c r="C175" t="s">
        <v>33</v>
      </c>
      <c r="D175" t="s">
        <v>65</v>
      </c>
      <c r="E175" s="4">
        <v>0</v>
      </c>
      <c r="F175" s="4">
        <v>24323960.288873874</v>
      </c>
      <c r="H175" s="2">
        <v>790458.33333333326</v>
      </c>
      <c r="I175" s="2">
        <v>1089489.75</v>
      </c>
      <c r="J175" s="3">
        <v>22.326011133995408</v>
      </c>
      <c r="K175" s="6">
        <v>0.72553076642835168</v>
      </c>
      <c r="L175" s="3">
        <v>30.771970214167574</v>
      </c>
      <c r="M175" s="53">
        <v>8.9597857097060155E-2</v>
      </c>
      <c r="N175" s="53">
        <v>0.27748078946383176</v>
      </c>
      <c r="O175" s="4">
        <v>1084489.6742117119</v>
      </c>
      <c r="P175" s="5">
        <v>4.4585242753737472E-2</v>
      </c>
    </row>
    <row r="176" spans="1:46" x14ac:dyDescent="0.3">
      <c r="A176" t="str">
        <f t="shared" si="17"/>
        <v>202303 &amp; Segm Valeur &gt; Petits acheteurs</v>
      </c>
      <c r="B176">
        <v>202303</v>
      </c>
      <c r="C176" t="s">
        <v>33</v>
      </c>
      <c r="D176" t="s">
        <v>65</v>
      </c>
      <c r="E176" s="4">
        <v>0</v>
      </c>
      <c r="F176" s="4">
        <v>24233884.175540544</v>
      </c>
      <c r="H176" s="2">
        <v>832847.74774774769</v>
      </c>
      <c r="I176" s="2">
        <v>1103559</v>
      </c>
      <c r="J176" s="3">
        <v>21.959754010017175</v>
      </c>
      <c r="K176" s="6">
        <v>0.75469254271656316</v>
      </c>
      <c r="L176" s="3">
        <v>29.09761627029156</v>
      </c>
      <c r="M176" s="53">
        <v>9.1262519916312804E-2</v>
      </c>
      <c r="N176" s="53">
        <v>0.28524133364065896</v>
      </c>
      <c r="O176" s="4">
        <v>560766.5827252256</v>
      </c>
      <c r="P176" s="5">
        <v>2.3139773164848738E-2</v>
      </c>
    </row>
    <row r="177" spans="1:46" x14ac:dyDescent="0.3">
      <c r="A177" t="str">
        <f t="shared" si="17"/>
        <v>202305 &amp; Segm Valeur &gt; Petits acheteurs</v>
      </c>
      <c r="B177">
        <v>202305</v>
      </c>
      <c r="C177" t="s">
        <v>33</v>
      </c>
      <c r="D177" t="s">
        <v>65</v>
      </c>
      <c r="E177" s="4">
        <v>0</v>
      </c>
      <c r="F177" s="4">
        <v>25082161.759594608</v>
      </c>
      <c r="H177" s="2">
        <v>811655.18018018012</v>
      </c>
      <c r="I177" s="2">
        <v>1111767</v>
      </c>
      <c r="J177" s="3">
        <v>22.560628044900241</v>
      </c>
      <c r="K177" s="6">
        <v>0.73005870850653065</v>
      </c>
      <c r="L177" s="3">
        <v>30.902484665996457</v>
      </c>
      <c r="M177" s="53">
        <v>9.3431833265470346E-2</v>
      </c>
      <c r="N177" s="53">
        <v>0.28585478207746851</v>
      </c>
      <c r="O177" s="4">
        <v>404056.42997747747</v>
      </c>
      <c r="P177" s="5">
        <v>1.6109314414373192E-2</v>
      </c>
    </row>
    <row r="178" spans="1:46" x14ac:dyDescent="0.3">
      <c r="A178" t="str">
        <f t="shared" si="17"/>
        <v>202212 &amp; Segm Valeur &gt; Petits acheteurs</v>
      </c>
      <c r="B178">
        <v>202212</v>
      </c>
      <c r="C178" t="s">
        <v>33</v>
      </c>
      <c r="D178" t="s">
        <v>65</v>
      </c>
      <c r="E178" s="4">
        <v>0</v>
      </c>
      <c r="F178" s="4">
        <v>31110397.421756744</v>
      </c>
      <c r="H178" s="2">
        <v>928607.43243243231</v>
      </c>
      <c r="I178" s="2">
        <v>1178333.25</v>
      </c>
      <c r="J178" s="3">
        <v>26.402036454251583</v>
      </c>
      <c r="K178" s="6">
        <v>0.78806859810875429</v>
      </c>
      <c r="L178" s="3">
        <v>33.502205921683071</v>
      </c>
      <c r="M178" s="53">
        <v>9.7221312074386348E-2</v>
      </c>
      <c r="N178" s="53">
        <v>0.29956462283074098</v>
      </c>
      <c r="O178" s="4">
        <v>809334.63961711677</v>
      </c>
      <c r="P178" s="5">
        <v>2.6014924484735663E-2</v>
      </c>
    </row>
    <row r="179" spans="1:46" x14ac:dyDescent="0.3">
      <c r="A179" t="str">
        <f t="shared" si="17"/>
        <v>202310 &amp; Segm Valeur &gt; Petits acheteurs</v>
      </c>
      <c r="B179">
        <v>202310</v>
      </c>
      <c r="C179" t="s">
        <v>33</v>
      </c>
      <c r="D179" t="s">
        <v>65</v>
      </c>
      <c r="E179" s="4">
        <v>0</v>
      </c>
      <c r="F179" s="4">
        <v>23849478.706441432</v>
      </c>
      <c r="H179" s="2">
        <v>814404.95495495491</v>
      </c>
      <c r="I179" s="2">
        <v>1098285</v>
      </c>
      <c r="J179" s="3">
        <v>21.7152002498818</v>
      </c>
      <c r="K179" s="6">
        <v>0.74152424457673094</v>
      </c>
      <c r="L179" s="3">
        <v>29.284545190126646</v>
      </c>
      <c r="M179" s="53">
        <v>9.0031585675930767E-2</v>
      </c>
      <c r="N179" s="53">
        <v>0.27954873757509729</v>
      </c>
      <c r="O179" s="4">
        <v>487569.02952702664</v>
      </c>
      <c r="P179" s="5">
        <v>2.0443592731246601E-2</v>
      </c>
    </row>
    <row r="180" spans="1:46" x14ac:dyDescent="0.3">
      <c r="A180" t="str">
        <f t="shared" si="17"/>
        <v>202307 &amp; Segm Valeur &gt; Petits acheteurs</v>
      </c>
      <c r="B180">
        <v>202307</v>
      </c>
      <c r="C180" t="s">
        <v>33</v>
      </c>
      <c r="D180" t="s">
        <v>65</v>
      </c>
      <c r="E180" s="4">
        <v>0</v>
      </c>
      <c r="F180" s="4">
        <v>27037040.024279274</v>
      </c>
      <c r="H180" s="2">
        <v>848406.98198198189</v>
      </c>
      <c r="I180" s="2">
        <v>1129671.75</v>
      </c>
      <c r="J180" s="3">
        <v>23.933536466924373</v>
      </c>
      <c r="K180" s="6">
        <v>0.75102080049534914</v>
      </c>
      <c r="L180" s="3">
        <v>31.868007452175206</v>
      </c>
      <c r="M180" s="53">
        <v>9.8057067773819201E-2</v>
      </c>
      <c r="N180" s="53">
        <v>0.28796442019742258</v>
      </c>
      <c r="O180" s="4">
        <v>320596.45997747761</v>
      </c>
      <c r="P180" s="5">
        <v>1.1857675976718675E-2</v>
      </c>
    </row>
    <row r="181" spans="1:46" x14ac:dyDescent="0.3">
      <c r="A181" t="str">
        <f t="shared" si="17"/>
        <v>202308 &amp; Segm Valeur &gt; Petits acheteurs</v>
      </c>
      <c r="B181">
        <v>202308</v>
      </c>
      <c r="C181" t="s">
        <v>33</v>
      </c>
      <c r="D181" t="s">
        <v>65</v>
      </c>
      <c r="E181" s="4">
        <v>0</v>
      </c>
      <c r="F181" s="4">
        <v>26649858.663063064</v>
      </c>
      <c r="H181" s="2">
        <v>844863.7387387387</v>
      </c>
      <c r="I181" s="2">
        <v>1118394.75</v>
      </c>
      <c r="J181" s="3">
        <v>23.828669316503017</v>
      </c>
      <c r="K181" s="6">
        <v>0.75542534399302097</v>
      </c>
      <c r="L181" s="3">
        <v>31.543380833041208</v>
      </c>
      <c r="M181" s="53">
        <v>9.6541771306429228E-2</v>
      </c>
      <c r="N181" s="53">
        <v>0.28568108783087109</v>
      </c>
      <c r="O181" s="4">
        <v>530538.04114864871</v>
      </c>
      <c r="P181" s="5">
        <v>1.9907724384444075E-2</v>
      </c>
    </row>
    <row r="182" spans="1:46" x14ac:dyDescent="0.3">
      <c r="A182" t="str">
        <f t="shared" si="17"/>
        <v>202306 &amp; Segm Valeur &gt; Petits acheteurs</v>
      </c>
      <c r="B182">
        <v>202306</v>
      </c>
      <c r="C182" t="s">
        <v>33</v>
      </c>
      <c r="D182" t="s">
        <v>65</v>
      </c>
      <c r="E182" s="4">
        <v>0</v>
      </c>
      <c r="F182" s="4">
        <v>25771987.702297293</v>
      </c>
      <c r="H182" s="2">
        <v>834779.50450450438</v>
      </c>
      <c r="I182" s="2">
        <v>1123340.25</v>
      </c>
      <c r="J182" s="3">
        <v>22.942281025092168</v>
      </c>
      <c r="K182" s="6">
        <v>0.74312257973886753</v>
      </c>
      <c r="L182" s="3">
        <v>30.872808404172108</v>
      </c>
      <c r="M182" s="53">
        <v>9.2747027971885651E-2</v>
      </c>
      <c r="N182" s="53">
        <v>0.28711680127100797</v>
      </c>
      <c r="O182" s="4">
        <v>427361.71351351356</v>
      </c>
      <c r="P182" s="5">
        <v>1.6582411820544943E-2</v>
      </c>
    </row>
    <row r="183" spans="1:46" x14ac:dyDescent="0.3">
      <c r="A183" t="str">
        <f t="shared" si="17"/>
        <v>202304 &amp; Segm Valeur &gt; Petits acheteurs</v>
      </c>
      <c r="B183">
        <v>202304</v>
      </c>
      <c r="C183" t="s">
        <v>33</v>
      </c>
      <c r="D183" t="s">
        <v>65</v>
      </c>
      <c r="E183" s="4">
        <v>0</v>
      </c>
      <c r="F183" s="4">
        <v>26987188.588288274</v>
      </c>
      <c r="H183" s="2">
        <v>842070.94594594592</v>
      </c>
      <c r="I183" s="2">
        <v>1138273.5</v>
      </c>
      <c r="J183" s="3">
        <v>23.708878919071974</v>
      </c>
      <c r="K183" s="6">
        <v>0.73977910049381446</v>
      </c>
      <c r="L183" s="3">
        <v>32.048592482872138</v>
      </c>
      <c r="M183" s="53">
        <v>9.8077248760070068E-2</v>
      </c>
      <c r="N183" s="53">
        <v>0.28927818545697132</v>
      </c>
      <c r="O183" s="4">
        <v>423969.37768018001</v>
      </c>
      <c r="P183" s="5">
        <v>1.571002389867952E-2</v>
      </c>
    </row>
    <row r="184" spans="1:46" x14ac:dyDescent="0.3">
      <c r="A184" t="str">
        <f t="shared" si="17"/>
        <v>202309 &amp; Segm Valeur &gt; Petits acheteurs</v>
      </c>
      <c r="B184">
        <v>202309</v>
      </c>
      <c r="C184" t="s">
        <v>33</v>
      </c>
      <c r="D184" t="s">
        <v>65</v>
      </c>
      <c r="E184" s="4">
        <v>0</v>
      </c>
      <c r="F184" s="4">
        <v>23972006.425855856</v>
      </c>
      <c r="H184" s="2">
        <v>802146.62162162154</v>
      </c>
      <c r="I184" s="2">
        <v>1089743.25</v>
      </c>
      <c r="J184" s="3">
        <v>21.997848048938</v>
      </c>
      <c r="K184" s="6">
        <v>0.73608771756248226</v>
      </c>
      <c r="L184" s="3">
        <v>29.88481878461819</v>
      </c>
      <c r="M184" s="53">
        <v>8.9330418054147598E-2</v>
      </c>
      <c r="N184" s="53">
        <v>0.27889637735738959</v>
      </c>
      <c r="O184" s="4">
        <v>512993.7769594593</v>
      </c>
      <c r="P184" s="5">
        <v>2.1399701295180353E-2</v>
      </c>
    </row>
    <row r="185" spans="1:46" x14ac:dyDescent="0.3">
      <c r="A185" t="str">
        <f t="shared" si="17"/>
        <v>202302 &amp; Segm Valeur &gt; Petits acheteurs</v>
      </c>
      <c r="B185">
        <v>202302</v>
      </c>
      <c r="C185" t="s">
        <v>33</v>
      </c>
      <c r="D185" t="s">
        <v>65</v>
      </c>
      <c r="E185" s="4">
        <v>0</v>
      </c>
      <c r="F185" s="4">
        <v>21493094.630000018</v>
      </c>
      <c r="H185" s="2">
        <v>734092.34234234225</v>
      </c>
      <c r="I185" s="2">
        <v>1051749</v>
      </c>
      <c r="J185" s="3">
        <v>20.435574105608865</v>
      </c>
      <c r="K185" s="6">
        <v>0.69797294063730253</v>
      </c>
      <c r="L185" s="3">
        <v>29.278461836858071</v>
      </c>
      <c r="M185" s="53">
        <v>9.3012433539068642E-2</v>
      </c>
      <c r="N185" s="53">
        <v>0.2798764763631218</v>
      </c>
      <c r="O185" s="4">
        <v>452053.12612612598</v>
      </c>
      <c r="P185" s="5">
        <v>2.1032482009135677E-2</v>
      </c>
    </row>
    <row r="186" spans="1:46" x14ac:dyDescent="0.3">
      <c r="A186" t="str">
        <f t="shared" si="17"/>
        <v>202412 &amp; Segm Valeur &gt; Petits acheteurs</v>
      </c>
      <c r="B186" s="1">
        <v>202412</v>
      </c>
      <c r="C186" t="s">
        <v>33</v>
      </c>
      <c r="D186" t="s">
        <v>65</v>
      </c>
      <c r="E186" s="4">
        <v>0</v>
      </c>
      <c r="F186" s="4">
        <v>31104099.442252241</v>
      </c>
      <c r="H186" s="2">
        <v>946299.99999999988</v>
      </c>
      <c r="I186" s="2">
        <v>1225113.75</v>
      </c>
      <c r="J186" s="3">
        <v>25.388744059277958</v>
      </c>
      <c r="K186" s="6">
        <v>0.77241807138316743</v>
      </c>
      <c r="L186" s="3">
        <v>32.869174090935481</v>
      </c>
      <c r="M186" s="53">
        <v>9.1790037900558827E-2</v>
      </c>
      <c r="N186" s="53">
        <v>0.28776012053798161</v>
      </c>
      <c r="O186" s="4">
        <v>782681.62669707183</v>
      </c>
      <c r="P186" s="5">
        <v>2.5163294894622996E-2</v>
      </c>
      <c r="V186" s="4">
        <v>0</v>
      </c>
      <c r="W186" s="4">
        <v>31170284.426306322</v>
      </c>
      <c r="Y186" s="2">
        <v>931557.43243243231</v>
      </c>
      <c r="Z186" s="2">
        <v>1193776.5</v>
      </c>
      <c r="AA186" s="3">
        <v>26.110653398107871</v>
      </c>
      <c r="AB186" s="6">
        <v>0.78034492422361501</v>
      </c>
      <c r="AC186" s="3">
        <v>33.460400122530466</v>
      </c>
      <c r="AD186" s="4">
        <v>896289.12157657614</v>
      </c>
      <c r="AE186" s="5">
        <v>2.8754601957374129E-2</v>
      </c>
      <c r="AL186" s="7">
        <v>-2.1233359038015376E-3</v>
      </c>
      <c r="AN186" s="7">
        <v>1.582572051309028E-2</v>
      </c>
      <c r="AO186" s="7">
        <v>2.6250516742455599E-2</v>
      </c>
      <c r="AP186" s="7">
        <v>-2.7648076355003326E-2</v>
      </c>
      <c r="AQ186" s="7">
        <v>-1.0158139810205302E-2</v>
      </c>
      <c r="AR186" s="7">
        <v>-1.7669425034666064E-2</v>
      </c>
      <c r="AS186" s="7">
        <v>-0.12675317834904465</v>
      </c>
      <c r="AT186" s="8">
        <v>-0.35913070627511323</v>
      </c>
    </row>
    <row r="187" spans="1:46" x14ac:dyDescent="0.3">
      <c r="A187" t="str">
        <f t="shared" si="17"/>
        <v>202401 &amp; Segm Valeur &gt; Petits acheteurs</v>
      </c>
      <c r="B187" s="1">
        <v>202401</v>
      </c>
      <c r="C187" t="s">
        <v>33</v>
      </c>
      <c r="D187" t="s">
        <v>65</v>
      </c>
      <c r="E187" s="4">
        <v>0</v>
      </c>
      <c r="F187" s="4">
        <v>23090369.608378369</v>
      </c>
      <c r="H187" s="2">
        <v>788595.49549549539</v>
      </c>
      <c r="I187" s="2">
        <v>1076953.5</v>
      </c>
      <c r="J187" s="3">
        <v>21.44045180073083</v>
      </c>
      <c r="K187" s="6">
        <v>0.73224655985192988</v>
      </c>
      <c r="L187" s="3">
        <v>29.280372181012879</v>
      </c>
      <c r="M187" s="53">
        <v>8.6072814525471913E-2</v>
      </c>
      <c r="N187" s="53">
        <v>0.27331443271006955</v>
      </c>
      <c r="O187" s="4">
        <v>746949.58225225226</v>
      </c>
      <c r="P187" s="5">
        <v>3.2348966037391652E-2</v>
      </c>
      <c r="V187" s="4">
        <v>0</v>
      </c>
      <c r="W187" s="4">
        <v>22566931.042252257</v>
      </c>
      <c r="Y187" s="2">
        <v>778111.03603603598</v>
      </c>
      <c r="Z187" s="2">
        <v>1060776.75</v>
      </c>
      <c r="AA187" s="3">
        <v>21.273968384254516</v>
      </c>
      <c r="AB187" s="6">
        <v>0.73352949716897164</v>
      </c>
      <c r="AC187" s="3">
        <v>29.002198911373792</v>
      </c>
      <c r="AD187" s="4">
        <v>615705.13583333348</v>
      </c>
      <c r="AE187" s="5">
        <v>2.7283512085916489E-2</v>
      </c>
      <c r="AL187" s="7">
        <v>2.3194937988957109E-2</v>
      </c>
      <c r="AN187" s="7">
        <v>1.3474245928795536E-2</v>
      </c>
      <c r="AO187" s="7">
        <v>1.5249910030550762E-2</v>
      </c>
      <c r="AP187" s="7">
        <v>7.8256869366946091E-3</v>
      </c>
      <c r="AQ187" s="7">
        <v>-1.7489921291417021E-3</v>
      </c>
      <c r="AR187" s="7">
        <v>9.5914544441662031E-3</v>
      </c>
      <c r="AS187" s="7">
        <v>0.21316120132940641</v>
      </c>
      <c r="AT187" s="8">
        <v>0.5065453951475164</v>
      </c>
    </row>
    <row r="188" spans="1:46" x14ac:dyDescent="0.3">
      <c r="A188" t="str">
        <f t="shared" si="17"/>
        <v>202410 &amp; Segm Valeur &gt; Petits acheteurs</v>
      </c>
      <c r="B188" s="1">
        <v>202410</v>
      </c>
      <c r="C188" t="s">
        <v>33</v>
      </c>
      <c r="D188" t="s">
        <v>65</v>
      </c>
      <c r="E188" s="4">
        <v>0</v>
      </c>
      <c r="F188" s="4">
        <v>25692918.515900906</v>
      </c>
      <c r="H188" s="2">
        <v>876281.30630630627</v>
      </c>
      <c r="I188" s="2">
        <v>1158539.25</v>
      </c>
      <c r="J188" s="3">
        <v>22.176994448743024</v>
      </c>
      <c r="K188" s="6">
        <v>0.75636738790360902</v>
      </c>
      <c r="L188" s="3">
        <v>29.320400116945873</v>
      </c>
      <c r="M188" s="53">
        <v>8.9150879940325514E-2</v>
      </c>
      <c r="N188" s="53">
        <v>0.2807592238003539</v>
      </c>
      <c r="O188" s="4">
        <v>635833.31885135127</v>
      </c>
      <c r="P188" s="5">
        <v>2.4747415069169543E-2</v>
      </c>
      <c r="V188" s="4">
        <v>0</v>
      </c>
      <c r="W188" s="4">
        <v>23849478.706441432</v>
      </c>
      <c r="Y188" s="2">
        <v>814404.95495495491</v>
      </c>
      <c r="Z188" s="2">
        <v>1098285</v>
      </c>
      <c r="AA188" s="3">
        <v>21.7152002498818</v>
      </c>
      <c r="AB188" s="6">
        <v>0.74152424457673094</v>
      </c>
      <c r="AC188" s="3">
        <v>29.284545190126646</v>
      </c>
      <c r="AD188" s="4">
        <v>487569.02952702664</v>
      </c>
      <c r="AE188" s="5">
        <v>2.0443592731246601E-2</v>
      </c>
      <c r="AL188" s="7">
        <v>7.729476321684059E-2</v>
      </c>
      <c r="AN188" s="7">
        <v>7.597737584341413E-2</v>
      </c>
      <c r="AO188" s="7">
        <v>5.4862125950914331E-2</v>
      </c>
      <c r="AP188" s="7">
        <v>2.1265942452625364E-2</v>
      </c>
      <c r="AQ188" s="7">
        <v>2.0017070831380046E-2</v>
      </c>
      <c r="AR188" s="7">
        <v>1.2243634513167123E-3</v>
      </c>
      <c r="AS188" s="7">
        <v>0.30408881685563682</v>
      </c>
      <c r="AT188" s="8">
        <v>0.43038223379229418</v>
      </c>
    </row>
    <row r="189" spans="1:46" x14ac:dyDescent="0.3">
      <c r="A189" t="str">
        <f t="shared" si="17"/>
        <v>202405 &amp; Segm Valeur &gt; Petits acheteurs</v>
      </c>
      <c r="B189">
        <v>202405</v>
      </c>
      <c r="C189" t="s">
        <v>33</v>
      </c>
      <c r="D189" t="s">
        <v>65</v>
      </c>
      <c r="E189" s="4">
        <v>0</v>
      </c>
      <c r="F189" s="4">
        <v>25779040.217522517</v>
      </c>
      <c r="H189" s="2">
        <v>839402.70270270261</v>
      </c>
      <c r="I189" s="2">
        <v>1148752.5</v>
      </c>
      <c r="J189" s="3">
        <v>22.440900209159516</v>
      </c>
      <c r="K189" s="6">
        <v>0.73070805304249842</v>
      </c>
      <c r="L189" s="3">
        <v>30.711171329946108</v>
      </c>
      <c r="M189" s="53">
        <v>9.0511254068406974E-2</v>
      </c>
      <c r="N189" s="53">
        <v>0.28364695235130466</v>
      </c>
      <c r="O189" s="4">
        <v>450977.41283783794</v>
      </c>
      <c r="P189" s="5">
        <v>1.7493956680796043E-2</v>
      </c>
      <c r="V189" s="4">
        <v>0</v>
      </c>
      <c r="W189" s="4">
        <v>25082161.759594608</v>
      </c>
      <c r="Y189" s="2">
        <v>811655.18018018012</v>
      </c>
      <c r="Z189" s="2">
        <v>1111767</v>
      </c>
      <c r="AA189" s="3">
        <v>22.560628044900241</v>
      </c>
      <c r="AB189" s="6">
        <v>0.73005870850653065</v>
      </c>
      <c r="AC189" s="3">
        <v>30.902484665996457</v>
      </c>
      <c r="AD189" s="4">
        <v>404056.42997747747</v>
      </c>
      <c r="AE189" s="5">
        <v>1.6109314414373192E-2</v>
      </c>
      <c r="AL189" s="7">
        <v>2.7783827590591725E-2</v>
      </c>
      <c r="AN189" s="7">
        <v>3.4186343166519029E-2</v>
      </c>
      <c r="AO189" s="7">
        <v>3.3267312305546026E-2</v>
      </c>
      <c r="AP189" s="7">
        <v>-5.3069371784527641E-3</v>
      </c>
      <c r="AQ189" s="7">
        <v>8.8944153175862795E-4</v>
      </c>
      <c r="AR189" s="7">
        <v>-6.1908722912776826E-3</v>
      </c>
      <c r="AS189" s="7">
        <v>0.11612482658171253</v>
      </c>
      <c r="AT189" s="8">
        <v>0.13846422664228508</v>
      </c>
    </row>
    <row r="190" spans="1:46" x14ac:dyDescent="0.3">
      <c r="A190" t="str">
        <f t="shared" si="17"/>
        <v>202402 &amp; Segm Valeur &gt; Petits acheteurs</v>
      </c>
      <c r="B190">
        <v>202402</v>
      </c>
      <c r="C190" t="s">
        <v>33</v>
      </c>
      <c r="D190" t="s">
        <v>65</v>
      </c>
      <c r="E190" s="4">
        <v>0</v>
      </c>
      <c r="F190" s="4">
        <v>22679555.102387369</v>
      </c>
      <c r="H190" s="2">
        <v>767430.18018018012</v>
      </c>
      <c r="I190" s="2">
        <v>1079137.5</v>
      </c>
      <c r="J190" s="3">
        <v>21.01637196593332</v>
      </c>
      <c r="K190" s="6">
        <v>0.71115143360339172</v>
      </c>
      <c r="L190" s="3">
        <v>29.552597341249438</v>
      </c>
      <c r="M190" s="53">
        <v>8.7727910488918842E-2</v>
      </c>
      <c r="N190" s="53">
        <v>0.2725569090529204</v>
      </c>
      <c r="O190" s="4">
        <v>506733.90984234278</v>
      </c>
      <c r="P190" s="5">
        <v>2.234320327513838E-2</v>
      </c>
      <c r="V190" s="4">
        <v>0</v>
      </c>
      <c r="W190" s="4">
        <v>21493094.630000018</v>
      </c>
      <c r="Y190" s="2">
        <v>734092.34234234225</v>
      </c>
      <c r="Z190" s="2">
        <v>1051749</v>
      </c>
      <c r="AA190" s="3">
        <v>20.435574105608865</v>
      </c>
      <c r="AB190" s="6">
        <v>0.69797294063730253</v>
      </c>
      <c r="AC190" s="3">
        <v>29.278461836858071</v>
      </c>
      <c r="AD190" s="4">
        <v>452053.12612612598</v>
      </c>
      <c r="AE190" s="5">
        <v>2.1032482009135677E-2</v>
      </c>
      <c r="AL190" s="7">
        <v>5.5201937776391263E-2</v>
      </c>
      <c r="AN190" s="7">
        <v>4.5413684239592467E-2</v>
      </c>
      <c r="AO190" s="7">
        <v>2.6040909000151213E-2</v>
      </c>
      <c r="AP190" s="7">
        <v>2.8420922129368753E-2</v>
      </c>
      <c r="AQ190" s="7">
        <v>1.8881094378897068E-2</v>
      </c>
      <c r="AR190" s="7">
        <v>9.363043247246905E-3</v>
      </c>
      <c r="AS190" s="7">
        <v>0.12096096798357392</v>
      </c>
      <c r="AT190" s="8">
        <v>0.13107212660027034</v>
      </c>
    </row>
    <row r="191" spans="1:46" x14ac:dyDescent="0.3">
      <c r="A191" t="str">
        <f t="shared" si="17"/>
        <v>202407 &amp; Segm Valeur &gt; Petits acheteurs</v>
      </c>
      <c r="B191">
        <v>202407</v>
      </c>
      <c r="C191" t="s">
        <v>33</v>
      </c>
      <c r="D191" t="s">
        <v>65</v>
      </c>
      <c r="E191" s="4">
        <v>0</v>
      </c>
      <c r="F191" s="4">
        <v>26578473.878828824</v>
      </c>
      <c r="H191" s="2">
        <v>876941.2162162161</v>
      </c>
      <c r="I191" s="2">
        <v>1174980.75</v>
      </c>
      <c r="J191" s="3">
        <v>22.620348357901882</v>
      </c>
      <c r="K191" s="6">
        <v>0.74634517732840822</v>
      </c>
      <c r="L191" s="3">
        <v>30.308159073088557</v>
      </c>
      <c r="M191" s="53">
        <v>9.2542354385748565E-2</v>
      </c>
      <c r="N191" s="53">
        <v>0.28869357322565253</v>
      </c>
      <c r="O191" s="4">
        <v>348605.26522522524</v>
      </c>
      <c r="P191" s="5">
        <v>1.3116075317737034E-2</v>
      </c>
      <c r="V191" s="4">
        <v>0</v>
      </c>
      <c r="W191" s="4">
        <v>27037040.024279274</v>
      </c>
      <c r="Y191" s="2">
        <v>848406.98198198189</v>
      </c>
      <c r="Z191" s="2">
        <v>1129671.75</v>
      </c>
      <c r="AA191" s="3">
        <v>23.933536466924373</v>
      </c>
      <c r="AB191" s="6">
        <v>0.75102080049534914</v>
      </c>
      <c r="AC191" s="3">
        <v>31.868007452175206</v>
      </c>
      <c r="AD191" s="4">
        <v>320596.45997747761</v>
      </c>
      <c r="AE191" s="5">
        <v>1.1857675976718675E-2</v>
      </c>
      <c r="AL191" s="7">
        <v>-1.6960663779713281E-2</v>
      </c>
      <c r="AN191" s="7">
        <v>3.3632719720875892E-2</v>
      </c>
      <c r="AO191" s="7">
        <v>4.0108111050842776E-2</v>
      </c>
      <c r="AP191" s="7">
        <v>-5.4868118250609887E-2</v>
      </c>
      <c r="AQ191" s="7">
        <v>-6.2256906384710042E-3</v>
      </c>
      <c r="AR191" s="7">
        <v>-4.8947157472193248E-2</v>
      </c>
      <c r="AS191" s="7">
        <v>8.7364674113105556E-2</v>
      </c>
      <c r="AT191" s="8">
        <v>0.12583993410183597</v>
      </c>
    </row>
    <row r="192" spans="1:46" x14ac:dyDescent="0.3">
      <c r="A192" t="str">
        <f t="shared" si="17"/>
        <v>202408 &amp; Segm Valeur &gt; Petits acheteurs</v>
      </c>
      <c r="B192">
        <v>202408</v>
      </c>
      <c r="C192" t="s">
        <v>33</v>
      </c>
      <c r="D192" t="s">
        <v>65</v>
      </c>
      <c r="E192" s="4">
        <v>0</v>
      </c>
      <c r="F192" s="4">
        <v>28667539.035945959</v>
      </c>
      <c r="H192" s="2">
        <v>898548.87387387385</v>
      </c>
      <c r="I192" s="2">
        <v>1176176.25</v>
      </c>
      <c r="J192" s="3">
        <v>24.373506127118244</v>
      </c>
      <c r="K192" s="6">
        <v>0.7639576754537204</v>
      </c>
      <c r="L192" s="3">
        <v>31.904262382916215</v>
      </c>
      <c r="M192" s="53">
        <v>9.5564717341243055E-2</v>
      </c>
      <c r="N192" s="53">
        <v>0.28704372972073622</v>
      </c>
      <c r="O192" s="4">
        <v>573541.35737274797</v>
      </c>
      <c r="P192" s="5">
        <v>2.000664782050492E-2</v>
      </c>
      <c r="V192" s="4">
        <v>0</v>
      </c>
      <c r="W192" s="4">
        <v>26649858.663063064</v>
      </c>
      <c r="Y192" s="2">
        <v>844863.7387387387</v>
      </c>
      <c r="Z192" s="2">
        <v>1118394.75</v>
      </c>
      <c r="AA192" s="3">
        <v>23.828669316503017</v>
      </c>
      <c r="AB192" s="6">
        <v>0.75542534399302097</v>
      </c>
      <c r="AC192" s="3">
        <v>31.543380833041208</v>
      </c>
      <c r="AD192" s="4">
        <v>530538.04114864871</v>
      </c>
      <c r="AE192" s="5">
        <v>1.9907724384444075E-2</v>
      </c>
      <c r="AL192" s="7">
        <v>7.5710734469275787E-2</v>
      </c>
      <c r="AN192" s="7">
        <v>6.354295097962126E-2</v>
      </c>
      <c r="AO192" s="7">
        <v>5.1664673855094545E-2</v>
      </c>
      <c r="AP192" s="7">
        <v>2.28647602339207E-2</v>
      </c>
      <c r="AQ192" s="7">
        <v>1.1294738161152118E-2</v>
      </c>
      <c r="AR192" s="7">
        <v>1.1440801218650209E-2</v>
      </c>
      <c r="AS192" s="7">
        <v>8.1056046671025284E-2</v>
      </c>
      <c r="AT192" s="8">
        <v>9.8923436060844444E-3</v>
      </c>
    </row>
    <row r="193" spans="1:46" x14ac:dyDescent="0.3">
      <c r="A193" t="str">
        <f t="shared" si="17"/>
        <v>202406 &amp; Segm Valeur &gt; Petits acheteurs</v>
      </c>
      <c r="B193">
        <v>202406</v>
      </c>
      <c r="C193" t="s">
        <v>33</v>
      </c>
      <c r="D193" t="s">
        <v>65</v>
      </c>
      <c r="E193" s="4">
        <v>0</v>
      </c>
      <c r="F193" s="4">
        <v>25282696.513108123</v>
      </c>
      <c r="H193" s="2">
        <v>835988.51351351349</v>
      </c>
      <c r="I193" s="2">
        <v>1143531</v>
      </c>
      <c r="J193" s="3">
        <v>22.109323239254664</v>
      </c>
      <c r="K193" s="6">
        <v>0.73105889872116581</v>
      </c>
      <c r="L193" s="3">
        <v>30.242875475464814</v>
      </c>
      <c r="M193" s="53">
        <v>9.0990279673948335E-2</v>
      </c>
      <c r="N193" s="53">
        <v>0.28321819779288976</v>
      </c>
      <c r="O193" s="4">
        <v>526556.68900900905</v>
      </c>
      <c r="P193" s="5">
        <v>2.0826761446747156E-2</v>
      </c>
      <c r="V193" s="4">
        <v>0</v>
      </c>
      <c r="W193" s="4">
        <v>25771987.702297293</v>
      </c>
      <c r="Y193" s="2">
        <v>834779.50450450438</v>
      </c>
      <c r="Z193" s="2">
        <v>1123340.25</v>
      </c>
      <c r="AA193" s="3">
        <v>22.942281025092168</v>
      </c>
      <c r="AB193" s="6">
        <v>0.74312257973886753</v>
      </c>
      <c r="AC193" s="3">
        <v>30.872808404172108</v>
      </c>
      <c r="AD193" s="4">
        <v>427361.71351351356</v>
      </c>
      <c r="AE193" s="5">
        <v>1.6582411820544943E-2</v>
      </c>
      <c r="AL193" s="7">
        <v>-1.8985388121443014E-2</v>
      </c>
      <c r="AN193" s="7">
        <v>1.4482974276264216E-3</v>
      </c>
      <c r="AO193" s="7">
        <v>1.797385075447977E-2</v>
      </c>
      <c r="AP193" s="7">
        <v>-3.6306668239591833E-2</v>
      </c>
      <c r="AQ193" s="7">
        <v>-1.6233769968261313E-2</v>
      </c>
      <c r="AR193" s="7">
        <v>-2.0404134293858567E-2</v>
      </c>
      <c r="AS193" s="7">
        <v>0.23211011271920801</v>
      </c>
      <c r="AT193" s="8">
        <v>0.42443496262022129</v>
      </c>
    </row>
    <row r="194" spans="1:46" x14ac:dyDescent="0.3">
      <c r="A194" t="str">
        <f t="shared" ref="A194:A257" si="18">_xlfn.CONCAT(B194," &amp; ",C194," &gt; ",D194)</f>
        <v>202312 &amp; Segm Valeur &gt; Petits acheteurs</v>
      </c>
      <c r="B194">
        <v>202312</v>
      </c>
      <c r="C194" t="s">
        <v>33</v>
      </c>
      <c r="D194" t="s">
        <v>65</v>
      </c>
      <c r="E194" s="4">
        <v>0</v>
      </c>
      <c r="F194" s="4">
        <v>31170284.426306322</v>
      </c>
      <c r="H194" s="2">
        <v>931557.43243243231</v>
      </c>
      <c r="I194" s="2">
        <v>1193776.5</v>
      </c>
      <c r="J194" s="3">
        <v>26.110653398107871</v>
      </c>
      <c r="K194" s="6">
        <v>0.78034492422361501</v>
      </c>
      <c r="L194" s="3">
        <v>33.460400122530466</v>
      </c>
      <c r="M194" s="53">
        <v>9.1574949194585073E-2</v>
      </c>
      <c r="N194" s="53">
        <v>0.29093693382796998</v>
      </c>
      <c r="O194" s="4">
        <v>896289.12157657614</v>
      </c>
      <c r="P194" s="5">
        <v>2.8754601957374129E-2</v>
      </c>
      <c r="V194" s="4">
        <v>0</v>
      </c>
      <c r="W194" s="4">
        <v>31110397.421756744</v>
      </c>
      <c r="Y194" s="2">
        <v>928607.43243243231</v>
      </c>
      <c r="Z194" s="2">
        <v>1178333.25</v>
      </c>
      <c r="AA194" s="3">
        <v>26.402036454251583</v>
      </c>
      <c r="AB194" s="6">
        <v>0.78806859810875429</v>
      </c>
      <c r="AC194" s="3">
        <v>33.502205921683071</v>
      </c>
      <c r="AD194" s="4">
        <v>809334.63961711677</v>
      </c>
      <c r="AE194" s="5">
        <v>2.6014924484735663E-2</v>
      </c>
      <c r="AL194" s="7">
        <v>1.9249835911030466E-3</v>
      </c>
      <c r="AN194" s="7">
        <v>3.1767999016254489E-3</v>
      </c>
      <c r="AO194" s="7">
        <v>1.3106012242292131E-2</v>
      </c>
      <c r="AP194" s="7">
        <v>-1.1036385645804558E-2</v>
      </c>
      <c r="AQ194" s="7">
        <v>-9.80076341536118E-3</v>
      </c>
      <c r="AR194" s="7">
        <v>-1.2478521339858162E-3</v>
      </c>
      <c r="AS194" s="7">
        <v>0.10743946657293213</v>
      </c>
      <c r="AT194" s="8">
        <v>0.27396774726384659</v>
      </c>
    </row>
    <row r="195" spans="1:46" x14ac:dyDescent="0.3">
      <c r="A195" t="str">
        <f t="shared" si="18"/>
        <v>202411 &amp; Segm Valeur &gt; Petits acheteurs</v>
      </c>
      <c r="B195">
        <v>202411</v>
      </c>
      <c r="C195" t="s">
        <v>33</v>
      </c>
      <c r="D195" t="s">
        <v>65</v>
      </c>
      <c r="E195" s="4">
        <v>0</v>
      </c>
      <c r="F195" s="4">
        <v>25531962.397657651</v>
      </c>
      <c r="H195" s="2">
        <v>835222.52252252249</v>
      </c>
      <c r="I195" s="2">
        <v>1138842.75</v>
      </c>
      <c r="J195" s="3">
        <v>22.419216698405158</v>
      </c>
      <c r="K195" s="6">
        <v>0.73339582881176746</v>
      </c>
      <c r="L195" s="3">
        <v>30.569054005567914</v>
      </c>
      <c r="M195" s="53">
        <v>8.6570793081401282E-2</v>
      </c>
      <c r="N195" s="53">
        <v>0.27645806858029254</v>
      </c>
      <c r="O195" s="4">
        <v>971128.38736486516</v>
      </c>
      <c r="P195" s="5">
        <v>3.8035791070018116E-2</v>
      </c>
      <c r="V195" s="4">
        <v>0</v>
      </c>
      <c r="W195" s="4">
        <v>24323960.288873874</v>
      </c>
      <c r="Y195" s="2">
        <v>790458.33333333326</v>
      </c>
      <c r="Z195" s="2">
        <v>1089489.75</v>
      </c>
      <c r="AA195" s="3">
        <v>22.326011133995408</v>
      </c>
      <c r="AB195" s="6">
        <v>0.72553076642835168</v>
      </c>
      <c r="AC195" s="3">
        <v>30.771970214167574</v>
      </c>
      <c r="AD195" s="4">
        <v>1084489.6742117119</v>
      </c>
      <c r="AE195" s="5">
        <v>4.4585242753737472E-2</v>
      </c>
      <c r="AL195" s="7">
        <v>4.9663052169030886E-2</v>
      </c>
      <c r="AN195" s="7">
        <v>5.6630675269650599E-2</v>
      </c>
      <c r="AO195" s="7">
        <v>4.5299187073581937E-2</v>
      </c>
      <c r="AP195" s="7">
        <v>4.174752213924604E-3</v>
      </c>
      <c r="AQ195" s="7">
        <v>1.0840425723272817E-2</v>
      </c>
      <c r="AR195" s="7">
        <v>-6.5941896858536797E-3</v>
      </c>
      <c r="AS195" s="7">
        <v>-0.10452961382896164</v>
      </c>
      <c r="AT195" s="8">
        <v>-0.65494516837193562</v>
      </c>
    </row>
    <row r="196" spans="1:46" x14ac:dyDescent="0.3">
      <c r="A196" t="str">
        <f t="shared" si="18"/>
        <v>202403 &amp; Segm Valeur &gt; Petits acheteurs</v>
      </c>
      <c r="B196">
        <v>202403</v>
      </c>
      <c r="C196" t="s">
        <v>33</v>
      </c>
      <c r="D196" t="s">
        <v>65</v>
      </c>
      <c r="E196" s="4">
        <v>0</v>
      </c>
      <c r="F196" s="4">
        <v>25165255.997792792</v>
      </c>
      <c r="H196" s="2">
        <v>845870.04504504497</v>
      </c>
      <c r="I196" s="2">
        <v>1136402.25</v>
      </c>
      <c r="J196" s="3">
        <v>22.144672802075842</v>
      </c>
      <c r="K196" s="6">
        <v>0.74434034695465001</v>
      </c>
      <c r="L196" s="3">
        <v>29.750735523980719</v>
      </c>
      <c r="M196" s="53">
        <v>8.7363588355303334E-2</v>
      </c>
      <c r="N196" s="53">
        <v>0.28054742930781651</v>
      </c>
      <c r="O196" s="4">
        <v>551772.01750000042</v>
      </c>
      <c r="P196" s="5">
        <v>2.192594494363163E-2</v>
      </c>
      <c r="V196" s="4">
        <v>0</v>
      </c>
      <c r="W196" s="4">
        <v>24233884.175540544</v>
      </c>
      <c r="Y196" s="2">
        <v>832847.74774774769</v>
      </c>
      <c r="Z196" s="2">
        <v>1103559</v>
      </c>
      <c r="AA196" s="3">
        <v>21.959754010017175</v>
      </c>
      <c r="AB196" s="6">
        <v>0.75469254271656316</v>
      </c>
      <c r="AC196" s="3">
        <v>29.09761627029156</v>
      </c>
      <c r="AD196" s="4">
        <v>560766.5827252256</v>
      </c>
      <c r="AE196" s="5">
        <v>2.3139773164848738E-2</v>
      </c>
      <c r="AL196" s="7">
        <v>3.8432626627484145E-2</v>
      </c>
      <c r="AN196" s="7">
        <v>1.5635867819194127E-2</v>
      </c>
      <c r="AO196" s="7">
        <v>2.9761208961188279E-2</v>
      </c>
      <c r="AP196" s="7">
        <v>8.4208043484601536E-3</v>
      </c>
      <c r="AQ196" s="7">
        <v>-1.3717103556701082E-2</v>
      </c>
      <c r="AR196" s="7">
        <v>2.2445799257995835E-2</v>
      </c>
      <c r="AS196" s="7">
        <v>-1.6039766816191459E-2</v>
      </c>
      <c r="AT196" s="8">
        <v>-0.12138282212171073</v>
      </c>
    </row>
    <row r="197" spans="1:46" x14ac:dyDescent="0.3">
      <c r="A197" t="str">
        <f t="shared" si="18"/>
        <v>202409 &amp; Segm Valeur &gt; Petits acheteurs</v>
      </c>
      <c r="B197">
        <v>202409</v>
      </c>
      <c r="C197" t="s">
        <v>33</v>
      </c>
      <c r="D197" t="s">
        <v>65</v>
      </c>
      <c r="E197" s="4">
        <v>0</v>
      </c>
      <c r="F197" s="4">
        <v>24117400.917702712</v>
      </c>
      <c r="H197" s="2">
        <v>821828.37837837834</v>
      </c>
      <c r="I197" s="2">
        <v>1126569.75</v>
      </c>
      <c r="J197" s="3">
        <v>21.407818661652076</v>
      </c>
      <c r="K197" s="6">
        <v>0.72949622371662148</v>
      </c>
      <c r="L197" s="3">
        <v>29.346030816422854</v>
      </c>
      <c r="M197" s="53">
        <v>9.1751934725214979E-2</v>
      </c>
      <c r="N197" s="53">
        <v>0.2795314509240529</v>
      </c>
      <c r="O197" s="4">
        <v>566602.59538963973</v>
      </c>
      <c r="P197" s="5">
        <v>2.3493518116777697E-2</v>
      </c>
      <c r="V197" s="4">
        <v>0</v>
      </c>
      <c r="W197" s="4">
        <v>23972006.425855856</v>
      </c>
      <c r="Y197" s="2">
        <v>802146.62162162154</v>
      </c>
      <c r="Z197" s="2">
        <v>1089743.25</v>
      </c>
      <c r="AA197" s="3">
        <v>21.997848048938</v>
      </c>
      <c r="AB197" s="6">
        <v>0.73608771756248226</v>
      </c>
      <c r="AC197" s="3">
        <v>29.88481878461819</v>
      </c>
      <c r="AD197" s="4">
        <v>512993.7769594593</v>
      </c>
      <c r="AE197" s="5">
        <v>2.1399701295180353E-2</v>
      </c>
      <c r="AL197" s="7">
        <v>6.0651782443224E-3</v>
      </c>
      <c r="AN197" s="7">
        <v>2.45363580999296E-2</v>
      </c>
      <c r="AO197" s="7">
        <v>3.3793739947460155E-2</v>
      </c>
      <c r="AP197" s="7">
        <v>-2.6822141237329289E-2</v>
      </c>
      <c r="AQ197" s="7">
        <v>-8.9547667874260162E-3</v>
      </c>
      <c r="AR197" s="7">
        <v>-1.8028818313352235E-2</v>
      </c>
      <c r="AS197" s="7">
        <v>0.10450188840091323</v>
      </c>
      <c r="AT197" s="8">
        <v>0.20938168215973441</v>
      </c>
    </row>
    <row r="198" spans="1:46" x14ac:dyDescent="0.3">
      <c r="A198" t="str">
        <f t="shared" si="18"/>
        <v>202404 &amp; Segm Valeur &gt; Petits acheteurs</v>
      </c>
      <c r="B198">
        <v>202404</v>
      </c>
      <c r="C198" t="s">
        <v>33</v>
      </c>
      <c r="D198" t="s">
        <v>65</v>
      </c>
      <c r="E198" s="4">
        <v>0</v>
      </c>
      <c r="F198" s="4">
        <v>24901914.735360354</v>
      </c>
      <c r="H198" s="2">
        <v>829201.12612612604</v>
      </c>
      <c r="I198" s="2">
        <v>1130943.75</v>
      </c>
      <c r="J198" s="3">
        <v>22.018703171895467</v>
      </c>
      <c r="K198" s="6">
        <v>0.73319395958121347</v>
      </c>
      <c r="L198" s="3">
        <v>30.031211910791153</v>
      </c>
      <c r="M198" s="53">
        <v>9.1563944748851725E-2</v>
      </c>
      <c r="N198" s="53">
        <v>0.2804606479074791</v>
      </c>
      <c r="O198" s="4">
        <v>473007.57117117138</v>
      </c>
      <c r="P198" s="5">
        <v>1.8994827353557175E-2</v>
      </c>
      <c r="V198" s="4">
        <v>0</v>
      </c>
      <c r="W198" s="4">
        <v>26987188.588288274</v>
      </c>
      <c r="Y198" s="2">
        <v>842070.94594594592</v>
      </c>
      <c r="Z198" s="2">
        <v>1138273.5</v>
      </c>
      <c r="AA198" s="3">
        <v>23.708878919071974</v>
      </c>
      <c r="AB198" s="6">
        <v>0.73977910049381446</v>
      </c>
      <c r="AC198" s="3">
        <v>32.048592482872138</v>
      </c>
      <c r="AD198" s="4">
        <v>423969.37768018001</v>
      </c>
      <c r="AE198" s="5">
        <v>1.571002389867952E-2</v>
      </c>
      <c r="AL198" s="7">
        <v>-7.7269028824768826E-2</v>
      </c>
      <c r="AN198" s="7">
        <v>-1.5283533865857901E-2</v>
      </c>
      <c r="AO198" s="7">
        <v>-6.439357500635845E-3</v>
      </c>
      <c r="AP198" s="7">
        <v>-7.1288724909590373E-2</v>
      </c>
      <c r="AQ198" s="7">
        <v>-8.9014962820729293E-3</v>
      </c>
      <c r="AR198" s="7">
        <v>-6.2947556063784771E-2</v>
      </c>
      <c r="AS198" s="7">
        <v>0.11566447029573723</v>
      </c>
      <c r="AT198" s="8">
        <v>0.32848034548776556</v>
      </c>
    </row>
    <row r="199" spans="1:46" x14ac:dyDescent="0.3">
      <c r="A199" t="str">
        <f t="shared" si="18"/>
        <v>202302 &amp; Segm SDC &gt; Les Amateurs de tendances</v>
      </c>
      <c r="B199">
        <v>202302</v>
      </c>
      <c r="C199" t="s">
        <v>59</v>
      </c>
      <c r="D199" t="s">
        <v>69</v>
      </c>
      <c r="E199" s="4">
        <v>0</v>
      </c>
      <c r="F199" s="4">
        <v>34210226.606621623</v>
      </c>
      <c r="H199" s="2">
        <v>739129.5045045045</v>
      </c>
      <c r="I199" s="2">
        <v>517757.25</v>
      </c>
      <c r="J199" s="3">
        <v>66.073872662568462</v>
      </c>
      <c r="K199" s="6">
        <v>1.4275599318107173</v>
      </c>
      <c r="L199" s="3">
        <v>46.284482486672452</v>
      </c>
      <c r="M199" s="53">
        <v>0.1480464532158843</v>
      </c>
      <c r="N199" s="53">
        <v>0.13777819112873885</v>
      </c>
      <c r="O199" s="4">
        <v>1115822.071734234</v>
      </c>
      <c r="P199" s="5">
        <v>3.261662322687623E-2</v>
      </c>
    </row>
    <row r="200" spans="1:46" x14ac:dyDescent="0.3">
      <c r="A200" t="str">
        <f t="shared" si="18"/>
        <v>202305 &amp; Segm SDC &gt; Les Amateurs de tendances</v>
      </c>
      <c r="B200">
        <v>202305</v>
      </c>
      <c r="C200" t="s">
        <v>59</v>
      </c>
      <c r="D200" t="s">
        <v>69</v>
      </c>
      <c r="E200" s="4">
        <v>0</v>
      </c>
      <c r="F200" s="4">
        <v>39544411.550900891</v>
      </c>
      <c r="H200" s="2">
        <v>807454.05405405397</v>
      </c>
      <c r="I200" s="2">
        <v>532268.25</v>
      </c>
      <c r="J200" s="3">
        <v>74.294139375964832</v>
      </c>
      <c r="K200" s="6">
        <v>1.5170058594591243</v>
      </c>
      <c r="L200" s="3">
        <v>48.974194076253461</v>
      </c>
      <c r="M200" s="53">
        <v>0.14730416389215684</v>
      </c>
      <c r="N200" s="53">
        <v>0.13685549634995958</v>
      </c>
      <c r="O200" s="4">
        <v>1032285.5159684682</v>
      </c>
      <c r="P200" s="5">
        <v>2.6104460162208454E-2</v>
      </c>
    </row>
    <row r="201" spans="1:46" x14ac:dyDescent="0.3">
      <c r="A201" t="str">
        <f t="shared" si="18"/>
        <v>202212 &amp; Segm SDC &gt; Les Amateurs de tendances</v>
      </c>
      <c r="B201">
        <v>202212</v>
      </c>
      <c r="C201" t="s">
        <v>59</v>
      </c>
      <c r="D201" t="s">
        <v>69</v>
      </c>
      <c r="E201" s="4">
        <v>0</v>
      </c>
      <c r="F201" s="4">
        <v>46957889.040360332</v>
      </c>
      <c r="H201" s="2">
        <v>926742.79279279266</v>
      </c>
      <c r="I201" s="2">
        <v>544707</v>
      </c>
      <c r="J201" s="3">
        <v>86.207610771222562</v>
      </c>
      <c r="K201" s="6">
        <v>1.7013601675630985</v>
      </c>
      <c r="L201" s="3">
        <v>50.669818428099163</v>
      </c>
      <c r="M201" s="53">
        <v>0.14674539585131038</v>
      </c>
      <c r="N201" s="53">
        <v>0.13847945562790867</v>
      </c>
      <c r="O201" s="4">
        <v>1661299.2185810807</v>
      </c>
      <c r="P201" s="5">
        <v>3.5378490228834457E-2</v>
      </c>
    </row>
    <row r="202" spans="1:46" x14ac:dyDescent="0.3">
      <c r="A202" t="str">
        <f t="shared" si="18"/>
        <v>202303 &amp; Segm SDC &gt; Les Amateurs de tendances</v>
      </c>
      <c r="B202">
        <v>202303</v>
      </c>
      <c r="C202" t="s">
        <v>59</v>
      </c>
      <c r="D202" t="s">
        <v>69</v>
      </c>
      <c r="E202" s="4">
        <v>0</v>
      </c>
      <c r="F202" s="4">
        <v>39288431.239594564</v>
      </c>
      <c r="H202" s="2">
        <v>836455.63063063053</v>
      </c>
      <c r="I202" s="2">
        <v>528410.25</v>
      </c>
      <c r="J202" s="3">
        <v>74.352136885298052</v>
      </c>
      <c r="K202" s="6">
        <v>1.5829663232888282</v>
      </c>
      <c r="L202" s="3">
        <v>46.970131828718472</v>
      </c>
      <c r="M202" s="53">
        <v>0.14795652287977515</v>
      </c>
      <c r="N202" s="53">
        <v>0.13658032277331253</v>
      </c>
      <c r="O202" s="4">
        <v>1316124.5694369376</v>
      </c>
      <c r="P202" s="5">
        <v>3.34990359225786E-2</v>
      </c>
    </row>
    <row r="203" spans="1:46" x14ac:dyDescent="0.3">
      <c r="A203" t="str">
        <f t="shared" si="18"/>
        <v>202308 &amp; Segm SDC &gt; Les Amateurs de tendances</v>
      </c>
      <c r="B203">
        <v>202308</v>
      </c>
      <c r="C203" t="s">
        <v>59</v>
      </c>
      <c r="D203" t="s">
        <v>69</v>
      </c>
      <c r="E203" s="4">
        <v>0</v>
      </c>
      <c r="F203" s="4">
        <v>39969351.893918924</v>
      </c>
      <c r="H203" s="2">
        <v>827502.02702702698</v>
      </c>
      <c r="I203" s="2">
        <v>538446</v>
      </c>
      <c r="J203" s="3">
        <v>74.230938467216632</v>
      </c>
      <c r="K203" s="6">
        <v>1.5368338273977835</v>
      </c>
      <c r="L203" s="3">
        <v>48.301213276198403</v>
      </c>
      <c r="M203" s="53">
        <v>0.14479296414270007</v>
      </c>
      <c r="N203" s="53">
        <v>0.13753984361799018</v>
      </c>
      <c r="O203" s="4">
        <v>1243636.4790765764</v>
      </c>
      <c r="P203" s="5">
        <v>3.1114752182553843E-2</v>
      </c>
    </row>
    <row r="204" spans="1:46" x14ac:dyDescent="0.3">
      <c r="A204" t="str">
        <f t="shared" si="18"/>
        <v>202301 &amp; Segm SDC &gt; Les Amateurs de tendances</v>
      </c>
      <c r="B204">
        <v>202301</v>
      </c>
      <c r="C204" t="s">
        <v>59</v>
      </c>
      <c r="D204" t="s">
        <v>69</v>
      </c>
      <c r="E204" s="4">
        <v>0</v>
      </c>
      <c r="F204" s="4">
        <v>37001624.903378367</v>
      </c>
      <c r="H204" s="2">
        <v>796087.61261261255</v>
      </c>
      <c r="I204" s="2">
        <v>523463.25</v>
      </c>
      <c r="J204" s="3">
        <v>70.686194118456967</v>
      </c>
      <c r="K204" s="6">
        <v>1.520808982507583</v>
      </c>
      <c r="L204" s="3">
        <v>46.479337596958544</v>
      </c>
      <c r="M204" s="53">
        <v>0.15007804133504243</v>
      </c>
      <c r="N204" s="53">
        <v>0.13881135723681567</v>
      </c>
      <c r="O204" s="4">
        <v>1606623.648963965</v>
      </c>
      <c r="P204" s="5">
        <v>4.3420353921194282E-2</v>
      </c>
    </row>
    <row r="205" spans="1:46" x14ac:dyDescent="0.3">
      <c r="A205" t="str">
        <f t="shared" si="18"/>
        <v>202304 &amp; Segm SDC &gt; Les Amateurs de tendances</v>
      </c>
      <c r="B205">
        <v>202304</v>
      </c>
      <c r="C205" t="s">
        <v>59</v>
      </c>
      <c r="D205" t="s">
        <v>69</v>
      </c>
      <c r="E205" s="4">
        <v>0</v>
      </c>
      <c r="F205" s="4">
        <v>40301176.316081077</v>
      </c>
      <c r="H205" s="2">
        <v>819008.55855855846</v>
      </c>
      <c r="I205" s="2">
        <v>537016.5</v>
      </c>
      <c r="J205" s="3">
        <v>75.046439571374577</v>
      </c>
      <c r="K205" s="6">
        <v>1.5251087416467808</v>
      </c>
      <c r="L205" s="3">
        <v>49.207271273221473</v>
      </c>
      <c r="M205" s="53">
        <v>0.1464631442413778</v>
      </c>
      <c r="N205" s="53">
        <v>0.13647612694177069</v>
      </c>
      <c r="O205" s="4">
        <v>1029327.6813738744</v>
      </c>
      <c r="P205" s="5">
        <v>2.5540884298286586E-2</v>
      </c>
    </row>
    <row r="206" spans="1:46" x14ac:dyDescent="0.3">
      <c r="A206" t="str">
        <f t="shared" si="18"/>
        <v>202306 &amp; Segm SDC &gt; Les Amateurs de tendances</v>
      </c>
      <c r="B206">
        <v>202306</v>
      </c>
      <c r="C206" t="s">
        <v>59</v>
      </c>
      <c r="D206" t="s">
        <v>69</v>
      </c>
      <c r="E206" s="4">
        <v>0</v>
      </c>
      <c r="F206" s="4">
        <v>41064214.395810813</v>
      </c>
      <c r="H206" s="2">
        <v>843836.93693693681</v>
      </c>
      <c r="I206" s="2">
        <v>537279.75</v>
      </c>
      <c r="J206" s="3">
        <v>76.429856877745365</v>
      </c>
      <c r="K206" s="6">
        <v>1.5705727545788517</v>
      </c>
      <c r="L206" s="3">
        <v>48.663684413804816</v>
      </c>
      <c r="M206" s="53">
        <v>0.14777998054345964</v>
      </c>
      <c r="N206" s="53">
        <v>0.13732441547223725</v>
      </c>
      <c r="O206" s="4">
        <v>1134035.324211712</v>
      </c>
      <c r="P206" s="5">
        <v>2.7616145612355883E-2</v>
      </c>
    </row>
    <row r="207" spans="1:46" x14ac:dyDescent="0.3">
      <c r="A207" t="str">
        <f t="shared" si="18"/>
        <v>202307 &amp; Segm SDC &gt; Les Amateurs de tendances</v>
      </c>
      <c r="B207">
        <v>202307</v>
      </c>
      <c r="C207" t="s">
        <v>59</v>
      </c>
      <c r="D207" t="s">
        <v>69</v>
      </c>
      <c r="E207" s="4">
        <v>0</v>
      </c>
      <c r="F207" s="4">
        <v>40079497.129954964</v>
      </c>
      <c r="H207" s="2">
        <v>831405.18018018012</v>
      </c>
      <c r="I207" s="2">
        <v>539223.75</v>
      </c>
      <c r="J207" s="3">
        <v>74.328137679312093</v>
      </c>
      <c r="K207" s="6">
        <v>1.5418556400384444</v>
      </c>
      <c r="L207" s="3">
        <v>48.206936985007758</v>
      </c>
      <c r="M207" s="53">
        <v>0.1453590320125048</v>
      </c>
      <c r="N207" s="53">
        <v>0.13745342797625057</v>
      </c>
      <c r="O207" s="4">
        <v>749941.05578828871</v>
      </c>
      <c r="P207" s="5">
        <v>1.8711338951101539E-2</v>
      </c>
    </row>
    <row r="208" spans="1:46" x14ac:dyDescent="0.3">
      <c r="A208" t="str">
        <f t="shared" si="18"/>
        <v>202310 &amp; Segm SDC &gt; Les Amateurs de tendances</v>
      </c>
      <c r="B208">
        <v>202310</v>
      </c>
      <c r="C208" t="s">
        <v>59</v>
      </c>
      <c r="D208" t="s">
        <v>69</v>
      </c>
      <c r="E208" s="4">
        <v>0</v>
      </c>
      <c r="F208" s="4">
        <v>38594893.407117106</v>
      </c>
      <c r="H208" s="2">
        <v>830573.87387387385</v>
      </c>
      <c r="I208" s="2">
        <v>538237.5</v>
      </c>
      <c r="J208" s="3">
        <v>71.706065458309965</v>
      </c>
      <c r="K208" s="6">
        <v>1.5431363921575028</v>
      </c>
      <c r="L208" s="3">
        <v>46.467743112490318</v>
      </c>
      <c r="M208" s="53">
        <v>0.1456954047174957</v>
      </c>
      <c r="N208" s="53">
        <v>0.13699869673224749</v>
      </c>
      <c r="O208" s="4">
        <v>1391023.8352702707</v>
      </c>
      <c r="P208" s="5">
        <v>3.6041655060349474E-2</v>
      </c>
    </row>
    <row r="209" spans="1:46" x14ac:dyDescent="0.3">
      <c r="A209" t="str">
        <f t="shared" si="18"/>
        <v>202309 &amp; Segm SDC &gt; Les Amateurs de tendances</v>
      </c>
      <c r="B209">
        <v>202309</v>
      </c>
      <c r="C209" t="s">
        <v>59</v>
      </c>
      <c r="D209" t="s">
        <v>69</v>
      </c>
      <c r="E209" s="4">
        <v>0</v>
      </c>
      <c r="F209" s="4">
        <v>39619558.147522539</v>
      </c>
      <c r="H209" s="2">
        <v>830100.45045045041</v>
      </c>
      <c r="I209" s="2">
        <v>536928.75</v>
      </c>
      <c r="J209" s="3">
        <v>73.7892283613469</v>
      </c>
      <c r="K209" s="6">
        <v>1.546016022517793</v>
      </c>
      <c r="L209" s="3">
        <v>47.728631066304274</v>
      </c>
      <c r="M209" s="53">
        <v>0.14764019454881486</v>
      </c>
      <c r="N209" s="53">
        <v>0.13741538043390633</v>
      </c>
      <c r="O209" s="4">
        <v>1383408.0033979723</v>
      </c>
      <c r="P209" s="5">
        <v>3.4917300143703867E-2</v>
      </c>
    </row>
    <row r="210" spans="1:46" x14ac:dyDescent="0.3">
      <c r="A210" t="str">
        <f t="shared" si="18"/>
        <v>202311 &amp; Segm SDC &gt; Les Amateurs de tendances</v>
      </c>
      <c r="B210">
        <v>202311</v>
      </c>
      <c r="C210" t="s">
        <v>59</v>
      </c>
      <c r="D210" t="s">
        <v>69</v>
      </c>
      <c r="E210" s="4">
        <v>0</v>
      </c>
      <c r="F210" s="4">
        <v>39860878.19572071</v>
      </c>
      <c r="H210" s="2">
        <v>816149.77477477468</v>
      </c>
      <c r="I210" s="2">
        <v>538093.5</v>
      </c>
      <c r="J210" s="3">
        <v>74.07797751825791</v>
      </c>
      <c r="K210" s="6">
        <v>1.5167434187084117</v>
      </c>
      <c r="L210" s="3">
        <v>48.840150947441906</v>
      </c>
      <c r="M210" s="53">
        <v>0.14682844511866502</v>
      </c>
      <c r="N210" s="53">
        <v>0.13704636430526893</v>
      </c>
      <c r="O210" s="4">
        <v>2800919.9295495483</v>
      </c>
      <c r="P210" s="5">
        <v>7.0267391395562456E-2</v>
      </c>
    </row>
    <row r="211" spans="1:46" x14ac:dyDescent="0.3">
      <c r="A211" t="str">
        <f t="shared" si="18"/>
        <v>202411 &amp; Segm SDC &gt; Les Amateurs de tendances</v>
      </c>
      <c r="B211">
        <v>202411</v>
      </c>
      <c r="C211" t="s">
        <v>59</v>
      </c>
      <c r="D211" t="s">
        <v>69</v>
      </c>
      <c r="E211" s="4">
        <v>0</v>
      </c>
      <c r="F211" s="4">
        <v>54810895.056711696</v>
      </c>
      <c r="H211" s="2">
        <v>1104213.2882882883</v>
      </c>
      <c r="I211" s="2">
        <v>707996.25</v>
      </c>
      <c r="J211" s="3">
        <v>77.416928488973909</v>
      </c>
      <c r="K211" s="6">
        <v>1.5596315493031048</v>
      </c>
      <c r="L211" s="3">
        <v>49.637960019189386</v>
      </c>
      <c r="M211" s="53">
        <v>0.18584637485586727</v>
      </c>
      <c r="N211" s="53">
        <v>0.17186857082515558</v>
      </c>
      <c r="O211" s="4">
        <v>3187662.2780180182</v>
      </c>
      <c r="P211" s="5">
        <v>5.8157457102640087E-2</v>
      </c>
      <c r="V211" s="4">
        <v>0</v>
      </c>
      <c r="W211" s="4">
        <v>39860878.19572071</v>
      </c>
      <c r="Y211" s="2">
        <v>816149.77477477468</v>
      </c>
      <c r="Z211" s="2">
        <v>538093.5</v>
      </c>
      <c r="AA211" s="3">
        <v>74.07797751825791</v>
      </c>
      <c r="AB211" s="6">
        <v>1.5167434187084117</v>
      </c>
      <c r="AC211" s="3">
        <v>48.840150947441906</v>
      </c>
      <c r="AD211" s="4">
        <v>2800919.9295495483</v>
      </c>
      <c r="AE211" s="5">
        <v>7.0267391395562456E-2</v>
      </c>
      <c r="AL211" s="7">
        <v>0.37505487931261783</v>
      </c>
      <c r="AN211" s="7">
        <v>0.35295422778620233</v>
      </c>
      <c r="AO211" s="7">
        <v>0.31574949335013347</v>
      </c>
      <c r="AP211" s="7">
        <v>4.5073462891087379E-2</v>
      </c>
      <c r="AQ211" s="7">
        <v>2.8276457353093143E-2</v>
      </c>
      <c r="AR211" s="7">
        <v>1.633510659305748E-2</v>
      </c>
      <c r="AS211" s="7">
        <v>0.13807690265914419</v>
      </c>
      <c r="AT211" s="8">
        <v>-1.2109934292922371</v>
      </c>
    </row>
    <row r="212" spans="1:46" x14ac:dyDescent="0.3">
      <c r="A212" t="str">
        <f t="shared" si="18"/>
        <v>202405 &amp; Segm SDC &gt; Les Amateurs de tendances</v>
      </c>
      <c r="B212">
        <v>202405</v>
      </c>
      <c r="C212" t="s">
        <v>59</v>
      </c>
      <c r="D212" t="s">
        <v>69</v>
      </c>
      <c r="E212" s="4">
        <v>0</v>
      </c>
      <c r="F212" s="4">
        <v>48059483.922477461</v>
      </c>
      <c r="H212" s="2">
        <v>978776.57657657645</v>
      </c>
      <c r="I212" s="2">
        <v>641789.25</v>
      </c>
      <c r="J212" s="3">
        <v>74.883591338554609</v>
      </c>
      <c r="K212" s="6">
        <v>1.5250747446713644</v>
      </c>
      <c r="L212" s="3">
        <v>49.10158770919201</v>
      </c>
      <c r="M212" s="53">
        <v>0.16873879411333356</v>
      </c>
      <c r="N212" s="53">
        <v>0.15846891720743114</v>
      </c>
      <c r="O212" s="4">
        <v>1302176.2731306304</v>
      </c>
      <c r="P212" s="5">
        <v>2.7095094804411777E-2</v>
      </c>
      <c r="V212" s="4">
        <v>0</v>
      </c>
      <c r="W212" s="4">
        <v>39544411.550900891</v>
      </c>
      <c r="Y212" s="2">
        <v>807454.05405405397</v>
      </c>
      <c r="Z212" s="2">
        <v>532268.25</v>
      </c>
      <c r="AA212" s="3">
        <v>74.294139375964832</v>
      </c>
      <c r="AB212" s="6">
        <v>1.5170058594591243</v>
      </c>
      <c r="AC212" s="3">
        <v>48.974194076253461</v>
      </c>
      <c r="AD212" s="4">
        <v>1032285.5159684682</v>
      </c>
      <c r="AE212" s="5">
        <v>2.6104460162208454E-2</v>
      </c>
      <c r="AL212" s="7">
        <v>0.21532934838633566</v>
      </c>
      <c r="AN212" s="7">
        <v>0.21217618719275566</v>
      </c>
      <c r="AO212" s="7">
        <v>0.20576278972116024</v>
      </c>
      <c r="AP212" s="7">
        <v>7.9340304301374065E-3</v>
      </c>
      <c r="AQ212" s="7">
        <v>5.3189545458427467E-3</v>
      </c>
      <c r="AR212" s="7">
        <v>2.6012400069350683E-3</v>
      </c>
      <c r="AS212" s="7">
        <v>0.26144971811307127</v>
      </c>
      <c r="AT212" s="8">
        <v>9.9063464220332242E-2</v>
      </c>
    </row>
    <row r="213" spans="1:46" x14ac:dyDescent="0.3">
      <c r="A213" t="str">
        <f t="shared" si="18"/>
        <v>202312 &amp; Segm SDC &gt; Les Amateurs de tendances</v>
      </c>
      <c r="B213">
        <v>202312</v>
      </c>
      <c r="C213" t="s">
        <v>59</v>
      </c>
      <c r="D213" t="s">
        <v>69</v>
      </c>
      <c r="E213" s="4">
        <v>0</v>
      </c>
      <c r="F213" s="4">
        <v>49706931.713423409</v>
      </c>
      <c r="H213" s="2">
        <v>958438.51351351338</v>
      </c>
      <c r="I213" s="2">
        <v>560204.25</v>
      </c>
      <c r="J213" s="3">
        <v>88.730015371042626</v>
      </c>
      <c r="K213" s="6">
        <v>1.710873335062191</v>
      </c>
      <c r="L213" s="3">
        <v>51.862410590330029</v>
      </c>
      <c r="M213" s="53">
        <v>0.14603362882482554</v>
      </c>
      <c r="N213" s="53">
        <v>0.13652815817064379</v>
      </c>
      <c r="O213" s="4">
        <v>2071904.3169594589</v>
      </c>
      <c r="P213" s="5">
        <v>4.1682402142716422E-2</v>
      </c>
      <c r="V213" s="4">
        <v>0</v>
      </c>
      <c r="W213" s="4">
        <v>46957889.040360332</v>
      </c>
      <c r="Y213" s="2">
        <v>926742.79279279266</v>
      </c>
      <c r="Z213" s="2">
        <v>544707</v>
      </c>
      <c r="AA213" s="3">
        <v>86.207610771222562</v>
      </c>
      <c r="AB213" s="6">
        <v>1.7013601675630985</v>
      </c>
      <c r="AC213" s="3">
        <v>50.669818428099163</v>
      </c>
      <c r="AD213" s="4">
        <v>1661299.2185810807</v>
      </c>
      <c r="AE213" s="5">
        <v>3.5378490228834457E-2</v>
      </c>
      <c r="AL213" s="7">
        <v>5.8542722623248E-2</v>
      </c>
      <c r="AN213" s="7">
        <v>3.4201205520254296E-2</v>
      </c>
      <c r="AO213" s="7">
        <v>2.8450616570009135E-2</v>
      </c>
      <c r="AP213" s="7">
        <v>2.9259650943279425E-2</v>
      </c>
      <c r="AQ213" s="7">
        <v>5.5915071249836856E-3</v>
      </c>
      <c r="AR213" s="7">
        <v>2.3536539092263942E-2</v>
      </c>
      <c r="AS213" s="7">
        <v>0.24715902697472947</v>
      </c>
      <c r="AT213" s="8">
        <v>0.63039119138819655</v>
      </c>
    </row>
    <row r="214" spans="1:46" x14ac:dyDescent="0.3">
      <c r="A214" t="str">
        <f t="shared" si="18"/>
        <v>202403 &amp; Segm SDC &gt; Les Amateurs de tendances</v>
      </c>
      <c r="B214">
        <v>202403</v>
      </c>
      <c r="C214" t="s">
        <v>59</v>
      </c>
      <c r="D214" t="s">
        <v>69</v>
      </c>
      <c r="E214" s="4">
        <v>0</v>
      </c>
      <c r="F214" s="4">
        <v>48635622.744324341</v>
      </c>
      <c r="H214" s="2">
        <v>1007453.8288288288</v>
      </c>
      <c r="I214" s="2">
        <v>637381.5</v>
      </c>
      <c r="J214" s="3">
        <v>76.305356751528464</v>
      </c>
      <c r="K214" s="6">
        <v>1.5806135396600447</v>
      </c>
      <c r="L214" s="3">
        <v>48.275783318887726</v>
      </c>
      <c r="M214" s="53">
        <v>0.16884320688856308</v>
      </c>
      <c r="N214" s="53">
        <v>0.15735250551761934</v>
      </c>
      <c r="O214" s="4">
        <v>1571904.5256081079</v>
      </c>
      <c r="P214" s="5">
        <v>3.2320024642668845E-2</v>
      </c>
      <c r="V214" s="4">
        <v>0</v>
      </c>
      <c r="W214" s="4">
        <v>39288431.239594564</v>
      </c>
      <c r="Y214" s="2">
        <v>836455.63063063053</v>
      </c>
      <c r="Z214" s="2">
        <v>528410.25</v>
      </c>
      <c r="AA214" s="3">
        <v>74.352136885298052</v>
      </c>
      <c r="AB214" s="6">
        <v>1.5829663232888282</v>
      </c>
      <c r="AC214" s="3">
        <v>46.970131828718472</v>
      </c>
      <c r="AD214" s="4">
        <v>1316124.5694369376</v>
      </c>
      <c r="AE214" s="5">
        <v>3.34990359225786E-2</v>
      </c>
      <c r="AL214" s="7">
        <v>0.23791205731090015</v>
      </c>
      <c r="AN214" s="7">
        <v>0.20443188130526102</v>
      </c>
      <c r="AO214" s="7">
        <v>0.20622470892644484</v>
      </c>
      <c r="AP214" s="7">
        <v>2.6269855152160737E-2</v>
      </c>
      <c r="AQ214" s="7">
        <v>-1.4863131288196385E-3</v>
      </c>
      <c r="AR214" s="7">
        <v>2.779748404646698E-2</v>
      </c>
      <c r="AS214" s="7">
        <v>0.19434327275008445</v>
      </c>
      <c r="AT214" s="8">
        <v>-0.11790112799097557</v>
      </c>
    </row>
    <row r="215" spans="1:46" x14ac:dyDescent="0.3">
      <c r="A215" t="str">
        <f t="shared" si="18"/>
        <v>202402 &amp; Segm SDC &gt; Les Amateurs de tendances</v>
      </c>
      <c r="B215">
        <v>202402</v>
      </c>
      <c r="C215" t="s">
        <v>59</v>
      </c>
      <c r="D215" t="s">
        <v>69</v>
      </c>
      <c r="E215" s="4">
        <v>0</v>
      </c>
      <c r="F215" s="4">
        <v>43678270.597252235</v>
      </c>
      <c r="H215" s="2">
        <v>923406.08108108095</v>
      </c>
      <c r="I215" s="2">
        <v>624165.75</v>
      </c>
      <c r="J215" s="3">
        <v>69.978640444869384</v>
      </c>
      <c r="K215" s="6">
        <v>1.4794244655062874</v>
      </c>
      <c r="L215" s="3">
        <v>47.301259426530684</v>
      </c>
      <c r="M215" s="53">
        <v>0.16895408203413848</v>
      </c>
      <c r="N215" s="53">
        <v>0.1576450522354175</v>
      </c>
      <c r="O215" s="4">
        <v>1557305.7683333335</v>
      </c>
      <c r="P215" s="5">
        <v>3.5654016219939404E-2</v>
      </c>
      <c r="V215" s="4">
        <v>0</v>
      </c>
      <c r="W215" s="4">
        <v>34210226.606621623</v>
      </c>
      <c r="Y215" s="2">
        <v>739129.5045045045</v>
      </c>
      <c r="Z215" s="2">
        <v>517757.25</v>
      </c>
      <c r="AA215" s="3">
        <v>66.073872662568462</v>
      </c>
      <c r="AB215" s="6">
        <v>1.4275599318107173</v>
      </c>
      <c r="AC215" s="3">
        <v>46.284482486672452</v>
      </c>
      <c r="AD215" s="4">
        <v>1115822.071734234</v>
      </c>
      <c r="AE215" s="5">
        <v>3.261662322687623E-2</v>
      </c>
      <c r="AL215" s="7">
        <v>0.27676063358194791</v>
      </c>
      <c r="AN215" s="7">
        <v>0.24931568210108357</v>
      </c>
      <c r="AO215" s="7">
        <v>0.20551812649653867</v>
      </c>
      <c r="AP215" s="7">
        <v>5.9097001960852324E-2</v>
      </c>
      <c r="AQ215" s="7">
        <v>3.633089759656194E-2</v>
      </c>
      <c r="AR215" s="7">
        <v>2.1967987654415433E-2</v>
      </c>
      <c r="AS215" s="7">
        <v>0.39565779149083902</v>
      </c>
      <c r="AT215" s="8">
        <v>0.30373929930631732</v>
      </c>
    </row>
    <row r="216" spans="1:46" x14ac:dyDescent="0.3">
      <c r="A216" t="str">
        <f t="shared" si="18"/>
        <v>202409 &amp; Segm SDC &gt; Les Amateurs de tendances</v>
      </c>
      <c r="B216">
        <v>202409</v>
      </c>
      <c r="C216" t="s">
        <v>59</v>
      </c>
      <c r="D216" t="s">
        <v>69</v>
      </c>
      <c r="E216" s="4">
        <v>0</v>
      </c>
      <c r="F216" s="4">
        <v>42691182.712342337</v>
      </c>
      <c r="H216" s="2">
        <v>900869.14414414403</v>
      </c>
      <c r="I216" s="2">
        <v>602225.25</v>
      </c>
      <c r="J216" s="3">
        <v>70.889061380841028</v>
      </c>
      <c r="K216" s="6">
        <v>1.4959006520303557</v>
      </c>
      <c r="L216" s="3">
        <v>47.388883268835222</v>
      </c>
      <c r="M216" s="53">
        <v>0.16241379504082026</v>
      </c>
      <c r="N216" s="53">
        <v>0.14942785203987635</v>
      </c>
      <c r="O216" s="4">
        <v>1753849.8705427921</v>
      </c>
      <c r="P216" s="5">
        <v>4.1082250692383401E-2</v>
      </c>
      <c r="V216" s="4">
        <v>0</v>
      </c>
      <c r="W216" s="4">
        <v>39619558.147522539</v>
      </c>
      <c r="Y216" s="2">
        <v>830100.45045045041</v>
      </c>
      <c r="Z216" s="2">
        <v>536928.75</v>
      </c>
      <c r="AA216" s="3">
        <v>73.7892283613469</v>
      </c>
      <c r="AB216" s="6">
        <v>1.546016022517793</v>
      </c>
      <c r="AC216" s="3">
        <v>47.728631066304274</v>
      </c>
      <c r="AD216" s="4">
        <v>1383408.0033979723</v>
      </c>
      <c r="AE216" s="5">
        <v>3.4917300143703867E-2</v>
      </c>
      <c r="AL216" s="7">
        <v>7.7527986389516856E-2</v>
      </c>
      <c r="AN216" s="7">
        <v>8.5253168643977029E-2</v>
      </c>
      <c r="AO216" s="7">
        <v>0.1216111076190276</v>
      </c>
      <c r="AP216" s="7">
        <v>-3.9303392174040774E-2</v>
      </c>
      <c r="AQ216" s="7">
        <v>-3.2415815720862273E-2</v>
      </c>
      <c r="AR216" s="7">
        <v>-7.1183226897305607E-3</v>
      </c>
      <c r="AS216" s="7">
        <v>0.26777484750336011</v>
      </c>
      <c r="AT216" s="8">
        <v>0.61649505486795353</v>
      </c>
    </row>
    <row r="217" spans="1:46" x14ac:dyDescent="0.3">
      <c r="A217" t="str">
        <f t="shared" si="18"/>
        <v>202401 &amp; Segm SDC &gt; Les Amateurs de tendances</v>
      </c>
      <c r="B217">
        <v>202401</v>
      </c>
      <c r="C217" t="s">
        <v>59</v>
      </c>
      <c r="D217" t="s">
        <v>69</v>
      </c>
      <c r="E217" s="4">
        <v>0</v>
      </c>
      <c r="F217" s="4">
        <v>40113435.414549559</v>
      </c>
      <c r="H217" s="2">
        <v>840980.63063063053</v>
      </c>
      <c r="I217" s="2">
        <v>545914.5</v>
      </c>
      <c r="J217" s="3">
        <v>73.479336809243136</v>
      </c>
      <c r="K217" s="6">
        <v>1.5404987972120736</v>
      </c>
      <c r="L217" s="3">
        <v>47.698405829477295</v>
      </c>
      <c r="M217" s="53">
        <v>0.14952884449122086</v>
      </c>
      <c r="N217" s="53">
        <v>0.13854480427957314</v>
      </c>
      <c r="O217" s="4">
        <v>2029215.5863288294</v>
      </c>
      <c r="P217" s="5">
        <v>5.0586930921224758E-2</v>
      </c>
      <c r="V217" s="4">
        <v>0</v>
      </c>
      <c r="W217" s="4">
        <v>37001624.903378367</v>
      </c>
      <c r="Y217" s="2">
        <v>796087.61261261255</v>
      </c>
      <c r="Z217" s="2">
        <v>523463.25</v>
      </c>
      <c r="AA217" s="3">
        <v>70.686194118456967</v>
      </c>
      <c r="AB217" s="6">
        <v>1.520808982507583</v>
      </c>
      <c r="AC217" s="3">
        <v>46.479337596958544</v>
      </c>
      <c r="AD217" s="4">
        <v>1606623.648963965</v>
      </c>
      <c r="AE217" s="5">
        <v>4.3420353921194282E-2</v>
      </c>
      <c r="AL217" s="7">
        <v>8.4099293457976509E-2</v>
      </c>
      <c r="AN217" s="7">
        <v>5.6392056988159078E-2</v>
      </c>
      <c r="AO217" s="7">
        <v>4.2889830374911675E-2</v>
      </c>
      <c r="AP217" s="7">
        <v>3.9514684948313672E-2</v>
      </c>
      <c r="AQ217" s="7">
        <v>1.2946934776795649E-2</v>
      </c>
      <c r="AR217" s="7">
        <v>2.6228175691525468E-2</v>
      </c>
      <c r="AS217" s="7">
        <v>0.26303106993188718</v>
      </c>
      <c r="AT217" s="8">
        <v>0.71665770000304763</v>
      </c>
    </row>
    <row r="218" spans="1:46" x14ac:dyDescent="0.3">
      <c r="A218" t="str">
        <f t="shared" si="18"/>
        <v>202410 &amp; Segm SDC &gt; Les Amateurs de tendances</v>
      </c>
      <c r="B218">
        <v>202410</v>
      </c>
      <c r="C218" t="s">
        <v>59</v>
      </c>
      <c r="D218" t="s">
        <v>69</v>
      </c>
      <c r="E218" s="4">
        <v>0</v>
      </c>
      <c r="F218" s="4">
        <v>53307435.979144111</v>
      </c>
      <c r="H218" s="2">
        <v>1127073.6486486485</v>
      </c>
      <c r="I218" s="2">
        <v>709131</v>
      </c>
      <c r="J218" s="3">
        <v>75.172903143628062</v>
      </c>
      <c r="K218" s="6">
        <v>1.5893729771348997</v>
      </c>
      <c r="L218" s="3">
        <v>47.297207279275192</v>
      </c>
      <c r="M218" s="53">
        <v>0.18496944292109449</v>
      </c>
      <c r="N218" s="53">
        <v>0.17185008546993014</v>
      </c>
      <c r="O218" s="4">
        <v>2017228.5156981973</v>
      </c>
      <c r="P218" s="5">
        <v>3.7841409526569871E-2</v>
      </c>
      <c r="V218" s="4">
        <v>0</v>
      </c>
      <c r="W218" s="4">
        <v>38594893.407117106</v>
      </c>
      <c r="Y218" s="2">
        <v>830573.87387387385</v>
      </c>
      <c r="Z218" s="2">
        <v>538237.5</v>
      </c>
      <c r="AA218" s="3">
        <v>71.706065458309965</v>
      </c>
      <c r="AB218" s="6">
        <v>1.5431363921575028</v>
      </c>
      <c r="AC218" s="3">
        <v>46.467743112490318</v>
      </c>
      <c r="AD218" s="4">
        <v>1391023.8352702707</v>
      </c>
      <c r="AE218" s="5">
        <v>3.6041655060349474E-2</v>
      </c>
      <c r="AL218" s="7">
        <v>0.3812043841352839</v>
      </c>
      <c r="AN218" s="7">
        <v>0.3569818219683123</v>
      </c>
      <c r="AO218" s="7">
        <v>0.31750574792726249</v>
      </c>
      <c r="AP218" s="7">
        <v>4.8347900043877345E-2</v>
      </c>
      <c r="AQ218" s="7">
        <v>2.9962733827275212E-2</v>
      </c>
      <c r="AR218" s="7">
        <v>1.785032177648227E-2</v>
      </c>
      <c r="AS218" s="7">
        <v>0.45017537769671456</v>
      </c>
      <c r="AT218" s="8">
        <v>0.17997544662203963</v>
      </c>
    </row>
    <row r="219" spans="1:46" x14ac:dyDescent="0.3">
      <c r="A219" t="str">
        <f t="shared" si="18"/>
        <v>202412 &amp; Segm SDC &gt; Les Amateurs de tendances</v>
      </c>
      <c r="B219">
        <v>202412</v>
      </c>
      <c r="C219" t="s">
        <v>59</v>
      </c>
      <c r="D219" t="s">
        <v>69</v>
      </c>
      <c r="E219" s="4">
        <v>0</v>
      </c>
      <c r="F219" s="4">
        <v>61759944.915765792</v>
      </c>
      <c r="H219" s="2">
        <v>1213514.8648648649</v>
      </c>
      <c r="I219" s="2">
        <v>717239.25</v>
      </c>
      <c r="J219" s="3">
        <v>86.107871140300517</v>
      </c>
      <c r="K219" s="6">
        <v>1.6919247864152231</v>
      </c>
      <c r="L219" s="3">
        <v>50.893439136110857</v>
      </c>
      <c r="M219" s="53">
        <v>0.18225725181593866</v>
      </c>
      <c r="N219" s="53">
        <v>0.16846831817418711</v>
      </c>
      <c r="O219" s="4">
        <v>2082511.899751127</v>
      </c>
      <c r="P219" s="5">
        <v>3.3719458503265486E-2</v>
      </c>
      <c r="V219" s="4">
        <v>0</v>
      </c>
      <c r="W219" s="4">
        <v>49706931.713423409</v>
      </c>
      <c r="Y219" s="2">
        <v>958438.51351351338</v>
      </c>
      <c r="Z219" s="2">
        <v>560204.25</v>
      </c>
      <c r="AA219" s="3">
        <v>88.730015371042626</v>
      </c>
      <c r="AB219" s="6">
        <v>1.710873335062191</v>
      </c>
      <c r="AC219" s="3">
        <v>51.862410590330029</v>
      </c>
      <c r="AD219" s="4">
        <v>2071904.3169594589</v>
      </c>
      <c r="AE219" s="5">
        <v>4.1682402142716422E-2</v>
      </c>
      <c r="AL219" s="7">
        <v>0.24248153701845676</v>
      </c>
      <c r="AN219" s="7">
        <v>0.26613741805540991</v>
      </c>
      <c r="AO219" s="7">
        <v>0.28031740209039824</v>
      </c>
      <c r="AP219" s="7">
        <v>-2.9551941581178354E-2</v>
      </c>
      <c r="AQ219" s="7">
        <v>-1.1075366164543743E-2</v>
      </c>
      <c r="AR219" s="7">
        <v>-1.8683502042996847E-2</v>
      </c>
      <c r="AS219" s="7">
        <v>5.1197261885311818E-3</v>
      </c>
      <c r="AT219" s="8">
        <v>-0.79629436394509368</v>
      </c>
    </row>
    <row r="220" spans="1:46" x14ac:dyDescent="0.3">
      <c r="A220" t="str">
        <f t="shared" si="18"/>
        <v>202408 &amp; Segm SDC &gt; Les Amateurs de tendances</v>
      </c>
      <c r="B220">
        <v>202408</v>
      </c>
      <c r="C220" t="s">
        <v>59</v>
      </c>
      <c r="D220" t="s">
        <v>69</v>
      </c>
      <c r="E220" s="4">
        <v>0</v>
      </c>
      <c r="F220" s="4">
        <v>48191283.003603593</v>
      </c>
      <c r="H220" s="2">
        <v>972137.38738738734</v>
      </c>
      <c r="I220" s="2">
        <v>616749</v>
      </c>
      <c r="J220" s="3">
        <v>78.137594067608688</v>
      </c>
      <c r="K220" s="6">
        <v>1.5762285587611611</v>
      </c>
      <c r="L220" s="3">
        <v>49.572502435193179</v>
      </c>
      <c r="M220" s="53">
        <v>0.16064812304874093</v>
      </c>
      <c r="N220" s="53">
        <v>0.15051650061930288</v>
      </c>
      <c r="O220" s="4">
        <v>1525762.1054549546</v>
      </c>
      <c r="P220" s="5">
        <v>3.1660541292101788E-2</v>
      </c>
      <c r="V220" s="4">
        <v>0</v>
      </c>
      <c r="W220" s="4">
        <v>39969351.893918924</v>
      </c>
      <c r="Y220" s="2">
        <v>827502.02702702698</v>
      </c>
      <c r="Z220" s="2">
        <v>538446</v>
      </c>
      <c r="AA220" s="3">
        <v>74.230938467216632</v>
      </c>
      <c r="AB220" s="6">
        <v>1.5368338273977835</v>
      </c>
      <c r="AC220" s="3">
        <v>48.301213276198403</v>
      </c>
      <c r="AD220" s="4">
        <v>1243636.4790765764</v>
      </c>
      <c r="AE220" s="5">
        <v>3.1114752182553843E-2</v>
      </c>
      <c r="AL220" s="7">
        <v>0.20570589014068008</v>
      </c>
      <c r="AN220" s="7">
        <v>0.17478550581923402</v>
      </c>
      <c r="AO220" s="7">
        <v>0.14542405366554867</v>
      </c>
      <c r="AP220" s="7">
        <v>5.2628401055678342E-2</v>
      </c>
      <c r="AQ220" s="7">
        <v>2.5633696149232943E-2</v>
      </c>
      <c r="AR220" s="7">
        <v>2.632002537338396E-2</v>
      </c>
      <c r="AS220" s="7">
        <v>0.22685538026985319</v>
      </c>
      <c r="AT220" s="8">
        <v>5.4578910954794502E-2</v>
      </c>
    </row>
    <row r="221" spans="1:46" x14ac:dyDescent="0.3">
      <c r="A221" t="str">
        <f t="shared" si="18"/>
        <v>202407 &amp; Segm SDC &gt; Les Amateurs de tendances</v>
      </c>
      <c r="B221">
        <v>202407</v>
      </c>
      <c r="C221" t="s">
        <v>59</v>
      </c>
      <c r="D221" t="s">
        <v>69</v>
      </c>
      <c r="E221" s="4">
        <v>0</v>
      </c>
      <c r="F221" s="4">
        <v>46494182.684594616</v>
      </c>
      <c r="H221" s="2">
        <v>971524.99999999988</v>
      </c>
      <c r="I221" s="2">
        <v>617118</v>
      </c>
      <c r="J221" s="3">
        <v>75.340830577935847</v>
      </c>
      <c r="K221" s="6">
        <v>1.5742937331272138</v>
      </c>
      <c r="L221" s="3">
        <v>47.856908143994879</v>
      </c>
      <c r="M221" s="53">
        <v>0.16188593635922824</v>
      </c>
      <c r="N221" s="53">
        <v>0.15162631432205867</v>
      </c>
      <c r="O221" s="4">
        <v>943157.14443648607</v>
      </c>
      <c r="P221" s="5">
        <v>2.0285487129317617E-2</v>
      </c>
      <c r="V221" s="4">
        <v>0</v>
      </c>
      <c r="W221" s="4">
        <v>40079497.129954964</v>
      </c>
      <c r="Y221" s="2">
        <v>831405.18018018012</v>
      </c>
      <c r="Z221" s="2">
        <v>539223.75</v>
      </c>
      <c r="AA221" s="3">
        <v>74.328137679312093</v>
      </c>
      <c r="AB221" s="6">
        <v>1.5418556400384444</v>
      </c>
      <c r="AC221" s="3">
        <v>48.206936985007758</v>
      </c>
      <c r="AD221" s="4">
        <v>749941.05578828871</v>
      </c>
      <c r="AE221" s="5">
        <v>1.8711338951101539E-2</v>
      </c>
      <c r="AL221" s="7">
        <v>0.16004905285713744</v>
      </c>
      <c r="AN221" s="7">
        <v>0.16853373440547159</v>
      </c>
      <c r="AO221" s="7">
        <v>0.14445626699491632</v>
      </c>
      <c r="AP221" s="7">
        <v>1.3624623598037733E-2</v>
      </c>
      <c r="AQ221" s="7">
        <v>2.1038346422600496E-2</v>
      </c>
      <c r="AR221" s="7">
        <v>-7.2609641455074758E-3</v>
      </c>
      <c r="AS221" s="7">
        <v>0.25764170018015786</v>
      </c>
      <c r="AT221" s="8">
        <v>0.15741481782160782</v>
      </c>
    </row>
    <row r="222" spans="1:46" x14ac:dyDescent="0.3">
      <c r="A222" t="str">
        <f t="shared" si="18"/>
        <v>202404 &amp; Segm SDC &gt; Les Amateurs de tendances</v>
      </c>
      <c r="B222">
        <v>202404</v>
      </c>
      <c r="C222" t="s">
        <v>59</v>
      </c>
      <c r="D222" t="s">
        <v>69</v>
      </c>
      <c r="E222" s="4">
        <v>0</v>
      </c>
      <c r="F222" s="4">
        <v>45850444.254234232</v>
      </c>
      <c r="H222" s="2">
        <v>964451.35135135124</v>
      </c>
      <c r="I222" s="2">
        <v>637659.75</v>
      </c>
      <c r="J222" s="3">
        <v>71.904247138437441</v>
      </c>
      <c r="K222" s="6">
        <v>1.5124858537038777</v>
      </c>
      <c r="L222" s="3">
        <v>47.540442750160906</v>
      </c>
      <c r="M222" s="53">
        <v>0.16859135488258498</v>
      </c>
      <c r="N222" s="53">
        <v>0.1581320615013091</v>
      </c>
      <c r="O222" s="4">
        <v>1584579.6720045046</v>
      </c>
      <c r="P222" s="5">
        <v>3.4559745227728533E-2</v>
      </c>
      <c r="V222" s="4">
        <v>0</v>
      </c>
      <c r="W222" s="4">
        <v>40301176.316081077</v>
      </c>
      <c r="Y222" s="2">
        <v>819008.55855855846</v>
      </c>
      <c r="Z222" s="2">
        <v>537016.5</v>
      </c>
      <c r="AA222" s="3">
        <v>75.046439571374577</v>
      </c>
      <c r="AB222" s="6">
        <v>1.5251087416467808</v>
      </c>
      <c r="AC222" s="3">
        <v>49.207271273221473</v>
      </c>
      <c r="AD222" s="4">
        <v>1029327.6813738744</v>
      </c>
      <c r="AE222" s="5">
        <v>2.5540884298286586E-2</v>
      </c>
      <c r="AL222" s="7">
        <v>0.13769493710631142</v>
      </c>
      <c r="AN222" s="7">
        <v>0.17758397183146624</v>
      </c>
      <c r="AO222" s="7">
        <v>0.18741183930102712</v>
      </c>
      <c r="AP222" s="7">
        <v>-4.1869973457550724E-2</v>
      </c>
      <c r="AQ222" s="7">
        <v>-8.2767133898092871E-3</v>
      </c>
      <c r="AR222" s="7">
        <v>-3.3873622331251907E-2</v>
      </c>
      <c r="AS222" s="7">
        <v>0.53943170933625217</v>
      </c>
      <c r="AT222" s="8">
        <v>0.90188609294419475</v>
      </c>
    </row>
    <row r="223" spans="1:46" x14ac:dyDescent="0.3">
      <c r="A223" t="str">
        <f t="shared" si="18"/>
        <v>202406 &amp; Segm SDC &gt; Les Amateurs de tendances</v>
      </c>
      <c r="B223">
        <v>202406</v>
      </c>
      <c r="C223" t="s">
        <v>59</v>
      </c>
      <c r="D223" t="s">
        <v>69</v>
      </c>
      <c r="E223" s="4">
        <v>0</v>
      </c>
      <c r="F223" s="4">
        <v>46149734.986801796</v>
      </c>
      <c r="H223" s="2">
        <v>949779.50450450438</v>
      </c>
      <c r="I223" s="2">
        <v>617790.75</v>
      </c>
      <c r="J223" s="3">
        <v>74.701239840191519</v>
      </c>
      <c r="K223" s="6">
        <v>1.5373805847764868</v>
      </c>
      <c r="L223" s="3">
        <v>48.589946159006558</v>
      </c>
      <c r="M223" s="53">
        <v>0.1660889807046721</v>
      </c>
      <c r="N223" s="53">
        <v>0.15300816753382088</v>
      </c>
      <c r="O223" s="4">
        <v>1699865.0119594594</v>
      </c>
      <c r="P223" s="5">
        <v>3.6833689563885857E-2</v>
      </c>
      <c r="V223" s="4">
        <v>0</v>
      </c>
      <c r="W223" s="4">
        <v>41064214.395810813</v>
      </c>
      <c r="Y223" s="2">
        <v>843836.93693693681</v>
      </c>
      <c r="Z223" s="2">
        <v>537279.75</v>
      </c>
      <c r="AA223" s="3">
        <v>76.429856877745365</v>
      </c>
      <c r="AB223" s="6">
        <v>1.5705727545788517</v>
      </c>
      <c r="AC223" s="3">
        <v>48.663684413804816</v>
      </c>
      <c r="AD223" s="4">
        <v>1134035.324211712</v>
      </c>
      <c r="AE223" s="5">
        <v>2.7616145612355883E-2</v>
      </c>
      <c r="AL223" s="7">
        <v>0.12384312389304553</v>
      </c>
      <c r="AN223" s="7">
        <v>0.12554862548697021</v>
      </c>
      <c r="AO223" s="7">
        <v>0.14984931034530891</v>
      </c>
      <c r="AP223" s="7">
        <v>-2.2617038787850707E-2</v>
      </c>
      <c r="AQ223" s="7">
        <v>-2.1133799568085254E-2</v>
      </c>
      <c r="AR223" s="7">
        <v>-1.5152624731665787E-3</v>
      </c>
      <c r="AS223" s="7">
        <v>0.49895243619599383</v>
      </c>
      <c r="AT223" s="8">
        <v>0.9217543951529974</v>
      </c>
    </row>
    <row r="224" spans="1:46" x14ac:dyDescent="0.3">
      <c r="A224" t="str">
        <f t="shared" si="18"/>
        <v>202306 &amp; Segm SDC &gt; Les Budget-conscious</v>
      </c>
      <c r="B224">
        <v>202306</v>
      </c>
      <c r="C224" t="s">
        <v>59</v>
      </c>
      <c r="D224" t="s">
        <v>66</v>
      </c>
      <c r="E224" s="4">
        <v>0</v>
      </c>
      <c r="F224" s="4">
        <v>72666963.804864898</v>
      </c>
      <c r="H224" s="2">
        <v>1579024.7747747747</v>
      </c>
      <c r="I224" s="2">
        <v>1040979.75</v>
      </c>
      <c r="J224" s="3">
        <v>69.806318331230642</v>
      </c>
      <c r="K224" s="6">
        <v>1.5168640646225584</v>
      </c>
      <c r="L224" s="3">
        <v>46.020154316596965</v>
      </c>
      <c r="M224" s="53">
        <v>0.26151048194241694</v>
      </c>
      <c r="N224" s="53">
        <v>0.26606611488183884</v>
      </c>
      <c r="O224" s="4">
        <v>1446623.3280855846</v>
      </c>
      <c r="P224" s="5">
        <v>1.9907579075001014E-2</v>
      </c>
    </row>
    <row r="225" spans="1:46" x14ac:dyDescent="0.3">
      <c r="A225" t="str">
        <f t="shared" si="18"/>
        <v>202301 &amp; Segm SDC &gt; Les Budget-conscious</v>
      </c>
      <c r="B225">
        <v>202301</v>
      </c>
      <c r="C225" t="s">
        <v>59</v>
      </c>
      <c r="D225" t="s">
        <v>66</v>
      </c>
      <c r="E225" s="4">
        <v>0</v>
      </c>
      <c r="F225" s="4">
        <v>64665532.399054028</v>
      </c>
      <c r="H225" s="2">
        <v>1486404.5045045044</v>
      </c>
      <c r="I225" s="2">
        <v>1008139.5</v>
      </c>
      <c r="J225" s="3">
        <v>64.143436894451639</v>
      </c>
      <c r="K225" s="6">
        <v>1.4744035964313513</v>
      </c>
      <c r="L225" s="3">
        <v>43.504666598551786</v>
      </c>
      <c r="M225" s="53">
        <v>0.26228243947880431</v>
      </c>
      <c r="N225" s="53">
        <v>0.267337224301887</v>
      </c>
      <c r="O225" s="4">
        <v>2137041.6479054065</v>
      </c>
      <c r="P225" s="5">
        <v>3.3047615454824104E-2</v>
      </c>
    </row>
    <row r="226" spans="1:46" x14ac:dyDescent="0.3">
      <c r="A226" t="str">
        <f t="shared" si="18"/>
        <v>202212 &amp; Segm SDC &gt; Les Budget-conscious</v>
      </c>
      <c r="B226">
        <v>202212</v>
      </c>
      <c r="C226" t="s">
        <v>59</v>
      </c>
      <c r="D226" t="s">
        <v>66</v>
      </c>
      <c r="E226" s="4">
        <v>0</v>
      </c>
      <c r="F226" s="4">
        <v>83320776.161576599</v>
      </c>
      <c r="H226" s="2">
        <v>1717799.3243243243</v>
      </c>
      <c r="I226" s="2">
        <v>1060434.75</v>
      </c>
      <c r="J226" s="3">
        <v>78.572280059264941</v>
      </c>
      <c r="K226" s="6">
        <v>1.6199010116599104</v>
      </c>
      <c r="L226" s="3">
        <v>48.504371250902558</v>
      </c>
      <c r="M226" s="53">
        <v>0.26038096111943876</v>
      </c>
      <c r="N226" s="53">
        <v>0.26959159127552507</v>
      </c>
      <c r="O226" s="4">
        <v>2491331.7678828835</v>
      </c>
      <c r="P226" s="5">
        <v>2.9900486801175071E-2</v>
      </c>
    </row>
    <row r="227" spans="1:46" x14ac:dyDescent="0.3">
      <c r="A227" t="str">
        <f t="shared" si="18"/>
        <v>202303 &amp; Segm SDC &gt; Les Budget-conscious</v>
      </c>
      <c r="B227">
        <v>202303</v>
      </c>
      <c r="C227" t="s">
        <v>59</v>
      </c>
      <c r="D227" t="s">
        <v>66</v>
      </c>
      <c r="E227" s="4">
        <v>0</v>
      </c>
      <c r="F227" s="4">
        <v>69517039.614189163</v>
      </c>
      <c r="H227" s="2">
        <v>1578614.6396396395</v>
      </c>
      <c r="I227" s="2">
        <v>1024230.75</v>
      </c>
      <c r="J227" s="3">
        <v>67.872439500756215</v>
      </c>
      <c r="K227" s="6">
        <v>1.5412685467992828</v>
      </c>
      <c r="L227" s="3">
        <v>44.036738206138935</v>
      </c>
      <c r="M227" s="53">
        <v>0.26179460817578715</v>
      </c>
      <c r="N227" s="53">
        <v>0.26473704177644541</v>
      </c>
      <c r="O227" s="4">
        <v>1831915.7653153152</v>
      </c>
      <c r="P227" s="5">
        <v>2.6352039377427715E-2</v>
      </c>
    </row>
    <row r="228" spans="1:46" x14ac:dyDescent="0.3">
      <c r="A228" t="str">
        <f t="shared" si="18"/>
        <v>202308 &amp; Segm SDC &gt; Les Budget-conscious</v>
      </c>
      <c r="B228">
        <v>202308</v>
      </c>
      <c r="C228" t="s">
        <v>59</v>
      </c>
      <c r="D228" t="s">
        <v>66</v>
      </c>
      <c r="E228" s="4">
        <v>0</v>
      </c>
      <c r="F228" s="4">
        <v>70872088.431711718</v>
      </c>
      <c r="H228" s="2">
        <v>1536655.6306306305</v>
      </c>
      <c r="I228" s="2">
        <v>1032810.75</v>
      </c>
      <c r="J228" s="3">
        <v>68.620595236553953</v>
      </c>
      <c r="K228" s="6">
        <v>1.4878385325003933</v>
      </c>
      <c r="L228" s="3">
        <v>46.120996154894129</v>
      </c>
      <c r="M228" s="53">
        <v>0.25674120977108877</v>
      </c>
      <c r="N228" s="53">
        <v>0.26381963844467066</v>
      </c>
      <c r="O228" s="4">
        <v>1784669.6004054053</v>
      </c>
      <c r="P228" s="5">
        <v>2.5181557929184077E-2</v>
      </c>
    </row>
    <row r="229" spans="1:46" x14ac:dyDescent="0.3">
      <c r="A229" t="str">
        <f t="shared" si="18"/>
        <v>202302 &amp; Segm SDC &gt; Les Budget-conscious</v>
      </c>
      <c r="B229">
        <v>202302</v>
      </c>
      <c r="C229" t="s">
        <v>59</v>
      </c>
      <c r="D229" t="s">
        <v>66</v>
      </c>
      <c r="E229" s="4">
        <v>0</v>
      </c>
      <c r="F229" s="4">
        <v>60158546.103738725</v>
      </c>
      <c r="H229" s="2">
        <v>1387477.4774774774</v>
      </c>
      <c r="I229" s="2">
        <v>994832.25</v>
      </c>
      <c r="J229" s="3">
        <v>60.471045348337597</v>
      </c>
      <c r="K229" s="6">
        <v>1.3946848601635877</v>
      </c>
      <c r="L229" s="3">
        <v>43.358214515388603</v>
      </c>
      <c r="M229" s="53">
        <v>0.26033909344403194</v>
      </c>
      <c r="N229" s="53">
        <v>0.26473060083955041</v>
      </c>
      <c r="O229" s="4">
        <v>1345761.9846396397</v>
      </c>
      <c r="P229" s="5">
        <v>2.2370254465907107E-2</v>
      </c>
    </row>
    <row r="230" spans="1:46" x14ac:dyDescent="0.3">
      <c r="A230" t="str">
        <f t="shared" si="18"/>
        <v>202305 &amp; Segm SDC &gt; Les Budget-conscious</v>
      </c>
      <c r="B230">
        <v>202305</v>
      </c>
      <c r="C230" t="s">
        <v>59</v>
      </c>
      <c r="D230" t="s">
        <v>66</v>
      </c>
      <c r="E230" s="4">
        <v>0</v>
      </c>
      <c r="F230" s="4">
        <v>69606080.223603562</v>
      </c>
      <c r="H230" s="2">
        <v>1508196.3963963962</v>
      </c>
      <c r="I230" s="2">
        <v>1028874</v>
      </c>
      <c r="J230" s="3">
        <v>67.652676832735168</v>
      </c>
      <c r="K230" s="6">
        <v>1.4658708417127813</v>
      </c>
      <c r="L230" s="3">
        <v>46.15186748219039</v>
      </c>
      <c r="M230" s="53">
        <v>0.25928481540180431</v>
      </c>
      <c r="N230" s="53">
        <v>0.26454153887925558</v>
      </c>
      <c r="O230" s="4">
        <v>1286725.0106531533</v>
      </c>
      <c r="P230" s="5">
        <v>1.8485813401927814E-2</v>
      </c>
    </row>
    <row r="231" spans="1:46" x14ac:dyDescent="0.3">
      <c r="A231" t="str">
        <f t="shared" si="18"/>
        <v>202309 &amp; Segm SDC &gt; Les Budget-conscious</v>
      </c>
      <c r="B231">
        <v>202309</v>
      </c>
      <c r="C231" t="s">
        <v>59</v>
      </c>
      <c r="D231" t="s">
        <v>66</v>
      </c>
      <c r="E231" s="4">
        <v>0</v>
      </c>
      <c r="F231" s="4">
        <v>71223724.356216177</v>
      </c>
      <c r="H231" s="2">
        <v>1561464.8648648646</v>
      </c>
      <c r="I231" s="2">
        <v>1042187.25</v>
      </c>
      <c r="J231" s="3">
        <v>68.340621472980189</v>
      </c>
      <c r="K231" s="6">
        <v>1.4982575011015196</v>
      </c>
      <c r="L231" s="3">
        <v>45.613401850306865</v>
      </c>
      <c r="M231" s="53">
        <v>0.26541145363834567</v>
      </c>
      <c r="N231" s="53">
        <v>0.26672544065132786</v>
      </c>
      <c r="O231" s="4">
        <v>1845034.3670495492</v>
      </c>
      <c r="P231" s="5">
        <v>2.5904772373624416E-2</v>
      </c>
    </row>
    <row r="232" spans="1:46" x14ac:dyDescent="0.3">
      <c r="A232" t="str">
        <f t="shared" si="18"/>
        <v>202307 &amp; Segm SDC &gt; Les Budget-conscious</v>
      </c>
      <c r="B232">
        <v>202307</v>
      </c>
      <c r="C232" t="s">
        <v>59</v>
      </c>
      <c r="D232" t="s">
        <v>66</v>
      </c>
      <c r="E232" s="4">
        <v>0</v>
      </c>
      <c r="F232" s="4">
        <v>71112567.386351347</v>
      </c>
      <c r="H232" s="2">
        <v>1546810.3603603602</v>
      </c>
      <c r="I232" s="2">
        <v>1038343.5</v>
      </c>
      <c r="J232" s="3">
        <v>68.486553232481683</v>
      </c>
      <c r="K232" s="6">
        <v>1.4896904158983615</v>
      </c>
      <c r="L232" s="3">
        <v>45.973681847970205</v>
      </c>
      <c r="M232" s="53">
        <v>0.25790877379742377</v>
      </c>
      <c r="N232" s="53">
        <v>0.26468395261124522</v>
      </c>
      <c r="O232" s="4">
        <v>928079.98076576553</v>
      </c>
      <c r="P232" s="5">
        <v>1.3050857462697827E-2</v>
      </c>
    </row>
    <row r="233" spans="1:46" x14ac:dyDescent="0.3">
      <c r="A233" t="str">
        <f t="shared" si="18"/>
        <v>202311 &amp; Segm SDC &gt; Les Budget-conscious</v>
      </c>
      <c r="B233">
        <v>202311</v>
      </c>
      <c r="C233" t="s">
        <v>59</v>
      </c>
      <c r="D233" t="s">
        <v>66</v>
      </c>
      <c r="E233" s="4">
        <v>0</v>
      </c>
      <c r="F233" s="4">
        <v>71070874.710315287</v>
      </c>
      <c r="H233" s="2">
        <v>1530974.9999999998</v>
      </c>
      <c r="I233" s="2">
        <v>1041517.5</v>
      </c>
      <c r="J233" s="3">
        <v>68.237811376491791</v>
      </c>
      <c r="K233" s="6">
        <v>1.4699464963382753</v>
      </c>
      <c r="L233" s="3">
        <v>46.42196947064145</v>
      </c>
      <c r="M233" s="53">
        <v>0.26179117217892423</v>
      </c>
      <c r="N233" s="53">
        <v>0.26526279677288972</v>
      </c>
      <c r="O233" s="4">
        <v>4058758.0225450448</v>
      </c>
      <c r="P233" s="5">
        <v>5.7108598129522577E-2</v>
      </c>
    </row>
    <row r="234" spans="1:46" x14ac:dyDescent="0.3">
      <c r="A234" t="str">
        <f t="shared" si="18"/>
        <v>202304 &amp; Segm SDC &gt; Les Budget-conscious</v>
      </c>
      <c r="B234">
        <v>202304</v>
      </c>
      <c r="C234" t="s">
        <v>59</v>
      </c>
      <c r="D234" t="s">
        <v>66</v>
      </c>
      <c r="E234" s="4">
        <v>0</v>
      </c>
      <c r="F234" s="4">
        <v>72469292.688648626</v>
      </c>
      <c r="H234" s="2">
        <v>1540465.5405405404</v>
      </c>
      <c r="I234" s="2">
        <v>1040491.5</v>
      </c>
      <c r="J234" s="3">
        <v>69.649096305590803</v>
      </c>
      <c r="K234" s="6">
        <v>1.4805171791797822</v>
      </c>
      <c r="L234" s="3">
        <v>47.043760980995117</v>
      </c>
      <c r="M234" s="53">
        <v>0.26336899908037947</v>
      </c>
      <c r="N234" s="53">
        <v>0.26442809492042313</v>
      </c>
      <c r="O234" s="4">
        <v>1316784.1613963959</v>
      </c>
      <c r="P234" s="5">
        <v>1.8170236144758909E-2</v>
      </c>
    </row>
    <row r="235" spans="1:46" x14ac:dyDescent="0.3">
      <c r="A235" t="str">
        <f t="shared" si="18"/>
        <v>202310 &amp; Segm SDC &gt; Les Budget-conscious</v>
      </c>
      <c r="B235">
        <v>202310</v>
      </c>
      <c r="C235" t="s">
        <v>59</v>
      </c>
      <c r="D235" t="s">
        <v>66</v>
      </c>
      <c r="E235" s="4">
        <v>0</v>
      </c>
      <c r="F235" s="4">
        <v>69231073.572477445</v>
      </c>
      <c r="H235" s="2">
        <v>1563678.8288288286</v>
      </c>
      <c r="I235" s="2">
        <v>1042743.75</v>
      </c>
      <c r="J235" s="3">
        <v>66.393180081374211</v>
      </c>
      <c r="K235" s="6">
        <v>1.4995811088091668</v>
      </c>
      <c r="L235" s="3">
        <v>44.274484181851115</v>
      </c>
      <c r="M235" s="53">
        <v>0.26134673250085438</v>
      </c>
      <c r="N235" s="53">
        <v>0.26541170909811468</v>
      </c>
      <c r="O235" s="4">
        <v>1860509.0634909905</v>
      </c>
      <c r="P235" s="5">
        <v>2.6873901667048956E-2</v>
      </c>
    </row>
    <row r="236" spans="1:46" x14ac:dyDescent="0.3">
      <c r="A236" t="str">
        <f t="shared" si="18"/>
        <v>202411 &amp; Segm SDC &gt; Les Budget-conscious</v>
      </c>
      <c r="B236">
        <v>202411</v>
      </c>
      <c r="C236" t="s">
        <v>59</v>
      </c>
      <c r="D236" t="s">
        <v>66</v>
      </c>
      <c r="E236" s="4">
        <v>0</v>
      </c>
      <c r="F236" s="4">
        <v>55236123.670180172</v>
      </c>
      <c r="H236" s="2">
        <v>1202238.7387387387</v>
      </c>
      <c r="I236" s="2">
        <v>800559.75</v>
      </c>
      <c r="J236" s="3">
        <v>68.996878334415598</v>
      </c>
      <c r="K236" s="6">
        <v>1.5017476693510243</v>
      </c>
      <c r="L236" s="3">
        <v>45.944388489866874</v>
      </c>
      <c r="M236" s="53">
        <v>0.18728819032369232</v>
      </c>
      <c r="N236" s="53">
        <v>0.19433868483433894</v>
      </c>
      <c r="O236" s="4">
        <v>2506777.2097747745</v>
      </c>
      <c r="P236" s="5">
        <v>4.5382931371921842E-2</v>
      </c>
      <c r="V236" s="4">
        <v>0</v>
      </c>
      <c r="W236" s="4">
        <v>71070874.710315287</v>
      </c>
      <c r="Y236" s="2">
        <v>1530974.9999999998</v>
      </c>
      <c r="Z236" s="2">
        <v>1041517.5</v>
      </c>
      <c r="AA236" s="3">
        <v>68.237811376491791</v>
      </c>
      <c r="AB236" s="6">
        <v>1.4699464963382753</v>
      </c>
      <c r="AC236" s="3">
        <v>46.42196947064145</v>
      </c>
      <c r="AD236" s="4">
        <v>4058758.0225450448</v>
      </c>
      <c r="AE236" s="5">
        <v>5.7108598129522577E-2</v>
      </c>
      <c r="AL236" s="7">
        <v>-0.22280225345020055</v>
      </c>
      <c r="AN236" s="7">
        <v>-0.21472346789546604</v>
      </c>
      <c r="AO236" s="7">
        <v>-0.23135256968797935</v>
      </c>
      <c r="AP236" s="7">
        <v>1.1123846773686275E-2</v>
      </c>
      <c r="AQ236" s="7">
        <v>2.1634238451513355E-2</v>
      </c>
      <c r="AR236" s="7">
        <v>-1.028782247329274E-2</v>
      </c>
      <c r="AS236" s="7">
        <v>-0.38237825565099848</v>
      </c>
      <c r="AT236" s="8">
        <v>-1.1725666757600735</v>
      </c>
    </row>
    <row r="237" spans="1:46" x14ac:dyDescent="0.3">
      <c r="A237" t="str">
        <f t="shared" si="18"/>
        <v>202405 &amp; Segm SDC &gt; Les Budget-conscious</v>
      </c>
      <c r="B237">
        <v>202405</v>
      </c>
      <c r="C237" t="s">
        <v>59</v>
      </c>
      <c r="D237" t="s">
        <v>66</v>
      </c>
      <c r="E237" s="4">
        <v>0</v>
      </c>
      <c r="F237" s="4">
        <v>61203921.03680177</v>
      </c>
      <c r="H237" s="2">
        <v>1345474.7747747747</v>
      </c>
      <c r="I237" s="2">
        <v>910451.25</v>
      </c>
      <c r="J237" s="3">
        <v>67.223721244604548</v>
      </c>
      <c r="K237" s="6">
        <v>1.4778108929772733</v>
      </c>
      <c r="L237" s="3">
        <v>45.488716833838062</v>
      </c>
      <c r="M237" s="53">
        <v>0.21488944507636398</v>
      </c>
      <c r="N237" s="53">
        <v>0.22480623313284259</v>
      </c>
      <c r="O237" s="4">
        <v>1162865.1815990992</v>
      </c>
      <c r="P237" s="5">
        <v>1.8999847753216191E-2</v>
      </c>
      <c r="V237" s="4">
        <v>0</v>
      </c>
      <c r="W237" s="4">
        <v>69606080.223603562</v>
      </c>
      <c r="Y237" s="2">
        <v>1508196.3963963962</v>
      </c>
      <c r="Z237" s="2">
        <v>1028874</v>
      </c>
      <c r="AA237" s="3">
        <v>67.652676832735168</v>
      </c>
      <c r="AB237" s="6">
        <v>1.4658708417127813</v>
      </c>
      <c r="AC237" s="3">
        <v>46.15186748219039</v>
      </c>
      <c r="AD237" s="4">
        <v>1286725.0106531533</v>
      </c>
      <c r="AE237" s="5">
        <v>1.8485813401927814E-2</v>
      </c>
      <c r="AL237" s="7">
        <v>-0.12071013279027598</v>
      </c>
      <c r="AN237" s="7">
        <v>-0.10789153323162681</v>
      </c>
      <c r="AO237" s="7">
        <v>-0.11509937076843224</v>
      </c>
      <c r="AP237" s="7">
        <v>-6.3405560313772868E-3</v>
      </c>
      <c r="AQ237" s="7">
        <v>8.145363782896986E-3</v>
      </c>
      <c r="AR237" s="7">
        <v>-1.4368880059040579E-2</v>
      </c>
      <c r="AS237" s="7">
        <v>-9.6259750940243083E-2</v>
      </c>
      <c r="AT237" s="8">
        <v>5.1403435128837688E-2</v>
      </c>
    </row>
    <row r="238" spans="1:46" x14ac:dyDescent="0.3">
      <c r="A238" t="str">
        <f t="shared" si="18"/>
        <v>202401 &amp; Segm SDC &gt; Les Budget-conscious</v>
      </c>
      <c r="B238">
        <v>202401</v>
      </c>
      <c r="C238" t="s">
        <v>59</v>
      </c>
      <c r="D238" t="s">
        <v>66</v>
      </c>
      <c r="E238" s="4">
        <v>0</v>
      </c>
      <c r="F238" s="4">
        <v>70554871.206396386</v>
      </c>
      <c r="H238" s="2">
        <v>1563833.7837837837</v>
      </c>
      <c r="I238" s="2">
        <v>1046514</v>
      </c>
      <c r="J238" s="3">
        <v>67.418946336500412</v>
      </c>
      <c r="K238" s="6">
        <v>1.4943266729196014</v>
      </c>
      <c r="L238" s="3">
        <v>45.116605062518161</v>
      </c>
      <c r="M238" s="53">
        <v>0.26300386031989598</v>
      </c>
      <c r="N238" s="53">
        <v>0.26558935017449292</v>
      </c>
      <c r="O238" s="4">
        <v>2765287.8334459458</v>
      </c>
      <c r="P238" s="5">
        <v>3.919343606136793E-2</v>
      </c>
      <c r="V238" s="4">
        <v>0</v>
      </c>
      <c r="W238" s="4">
        <v>64665532.399054028</v>
      </c>
      <c r="Y238" s="2">
        <v>1486404.5045045044</v>
      </c>
      <c r="Z238" s="2">
        <v>1008139.5</v>
      </c>
      <c r="AA238" s="3">
        <v>64.143436894451639</v>
      </c>
      <c r="AB238" s="6">
        <v>1.4744035964313513</v>
      </c>
      <c r="AC238" s="3">
        <v>43.504666598551786</v>
      </c>
      <c r="AD238" s="4">
        <v>2137041.6479054065</v>
      </c>
      <c r="AE238" s="5">
        <v>3.3047615454824104E-2</v>
      </c>
      <c r="AL238" s="7">
        <v>9.1073847053465329E-2</v>
      </c>
      <c r="AN238" s="7">
        <v>5.2091660812808582E-2</v>
      </c>
      <c r="AO238" s="7">
        <v>3.8064672597393434E-2</v>
      </c>
      <c r="AP238" s="7">
        <v>5.1065387210832425E-2</v>
      </c>
      <c r="AQ238" s="7">
        <v>1.3512634217979436E-2</v>
      </c>
      <c r="AR238" s="7">
        <v>3.7052081764948674E-2</v>
      </c>
      <c r="AS238" s="7">
        <v>0.29397938320776595</v>
      </c>
      <c r="AT238" s="8">
        <v>0.61458206065438259</v>
      </c>
    </row>
    <row r="239" spans="1:46" x14ac:dyDescent="0.3">
      <c r="A239" t="str">
        <f t="shared" si="18"/>
        <v>202404 &amp; Segm SDC &gt; Les Budget-conscious</v>
      </c>
      <c r="B239">
        <v>202404</v>
      </c>
      <c r="C239" t="s">
        <v>59</v>
      </c>
      <c r="D239" t="s">
        <v>66</v>
      </c>
      <c r="E239" s="4">
        <v>0</v>
      </c>
      <c r="F239" s="4">
        <v>58844858.978468493</v>
      </c>
      <c r="H239" s="2">
        <v>1333406.5315315314</v>
      </c>
      <c r="I239" s="2">
        <v>905355.75</v>
      </c>
      <c r="J239" s="3">
        <v>64.996393935166907</v>
      </c>
      <c r="K239" s="6">
        <v>1.4727984347937608</v>
      </c>
      <c r="L239" s="3">
        <v>44.131221489428391</v>
      </c>
      <c r="M239" s="53">
        <v>0.216371611320614</v>
      </c>
      <c r="N239" s="53">
        <v>0.22451749720687847</v>
      </c>
      <c r="O239" s="4">
        <v>1408570.1126576576</v>
      </c>
      <c r="P239" s="5">
        <v>2.3937012291474054E-2</v>
      </c>
      <c r="V239" s="4">
        <v>0</v>
      </c>
      <c r="W239" s="4">
        <v>72469292.688648626</v>
      </c>
      <c r="Y239" s="2">
        <v>1540465.5405405404</v>
      </c>
      <c r="Z239" s="2">
        <v>1040491.5</v>
      </c>
      <c r="AA239" s="3">
        <v>69.649096305590803</v>
      </c>
      <c r="AB239" s="6">
        <v>1.4805171791797822</v>
      </c>
      <c r="AC239" s="3">
        <v>47.043760980995117</v>
      </c>
      <c r="AD239" s="4">
        <v>1316784.1613963959</v>
      </c>
      <c r="AE239" s="5">
        <v>1.8170236144758909E-2</v>
      </c>
      <c r="AL239" s="7">
        <v>-0.18800285203161948</v>
      </c>
      <c r="AN239" s="7">
        <v>-0.13441326895008199</v>
      </c>
      <c r="AO239" s="7">
        <v>-0.12987684185791037</v>
      </c>
      <c r="AP239" s="7">
        <v>-6.6802049376345152E-2</v>
      </c>
      <c r="AQ239" s="7">
        <v>-5.2135459787758798E-3</v>
      </c>
      <c r="AR239" s="7">
        <v>-6.1911280706135385E-2</v>
      </c>
      <c r="AS239" s="7">
        <v>6.9704628861822382E-2</v>
      </c>
      <c r="AT239" s="8">
        <v>0.57667761467151446</v>
      </c>
    </row>
    <row r="240" spans="1:46" x14ac:dyDescent="0.3">
      <c r="A240" t="str">
        <f t="shared" si="18"/>
        <v>202312 &amp; Segm SDC &gt; Les Budget-conscious</v>
      </c>
      <c r="B240">
        <v>202312</v>
      </c>
      <c r="C240" t="s">
        <v>59</v>
      </c>
      <c r="D240" t="s">
        <v>66</v>
      </c>
      <c r="E240" s="4">
        <v>0</v>
      </c>
      <c r="F240" s="4">
        <v>88272513.945855767</v>
      </c>
      <c r="H240" s="2">
        <v>1773601.3513513512</v>
      </c>
      <c r="I240" s="2">
        <v>1086800.25</v>
      </c>
      <c r="J240" s="3">
        <v>81.222390173222507</v>
      </c>
      <c r="K240" s="6">
        <v>1.6319478683882813</v>
      </c>
      <c r="L240" s="3">
        <v>49.770211258916063</v>
      </c>
      <c r="M240" s="53">
        <v>0.25933516901269876</v>
      </c>
      <c r="N240" s="53">
        <v>0.26486560291517819</v>
      </c>
      <c r="O240" s="4">
        <v>2901180.9650900899</v>
      </c>
      <c r="P240" s="5">
        <v>3.2866187167498194E-2</v>
      </c>
      <c r="V240" s="4">
        <v>0</v>
      </c>
      <c r="W240" s="4">
        <v>83320776.161576599</v>
      </c>
      <c r="Y240" s="2">
        <v>1717799.3243243243</v>
      </c>
      <c r="Z240" s="2">
        <v>1060434.75</v>
      </c>
      <c r="AA240" s="3">
        <v>78.572280059264941</v>
      </c>
      <c r="AB240" s="6">
        <v>1.6199010116599104</v>
      </c>
      <c r="AC240" s="3">
        <v>48.504371250902558</v>
      </c>
      <c r="AD240" s="4">
        <v>2491331.7678828835</v>
      </c>
      <c r="AE240" s="5">
        <v>2.9900486801175071E-2</v>
      </c>
      <c r="AL240" s="7">
        <v>5.9429808655127037E-2</v>
      </c>
      <c r="AN240" s="7">
        <v>3.2484601802353241E-2</v>
      </c>
      <c r="AO240" s="7">
        <v>2.4862915893693494E-2</v>
      </c>
      <c r="AP240" s="7">
        <v>3.3728308659983552E-2</v>
      </c>
      <c r="AQ240" s="7">
        <v>7.4367857305221996E-3</v>
      </c>
      <c r="AR240" s="7">
        <v>2.6097441846335778E-2</v>
      </c>
      <c r="AS240" s="7">
        <v>0.164510083518701</v>
      </c>
      <c r="AT240" s="8">
        <v>0.29657003663231229</v>
      </c>
    </row>
    <row r="241" spans="1:46" x14ac:dyDescent="0.3">
      <c r="A241" t="str">
        <f t="shared" si="18"/>
        <v>202407 &amp; Segm SDC &gt; Les Budget-conscious</v>
      </c>
      <c r="B241">
        <v>202407</v>
      </c>
      <c r="C241" t="s">
        <v>59</v>
      </c>
      <c r="D241" t="s">
        <v>66</v>
      </c>
      <c r="E241" s="4">
        <v>0</v>
      </c>
      <c r="F241" s="4">
        <v>59503253.943333328</v>
      </c>
      <c r="H241" s="2">
        <v>1326005.4054054052</v>
      </c>
      <c r="I241" s="2">
        <v>871485</v>
      </c>
      <c r="J241" s="3">
        <v>68.278001277512899</v>
      </c>
      <c r="K241" s="6">
        <v>1.5215470207810866</v>
      </c>
      <c r="L241" s="3">
        <v>44.874065898050503</v>
      </c>
      <c r="M241" s="53">
        <v>0.20718161767427234</v>
      </c>
      <c r="N241" s="53">
        <v>0.21412446004971386</v>
      </c>
      <c r="O241" s="4">
        <v>897648.51727635122</v>
      </c>
      <c r="P241" s="5">
        <v>1.5085704693245985E-2</v>
      </c>
      <c r="V241" s="4">
        <v>0</v>
      </c>
      <c r="W241" s="4">
        <v>71112567.386351347</v>
      </c>
      <c r="Y241" s="2">
        <v>1546810.3603603602</v>
      </c>
      <c r="Z241" s="2">
        <v>1038343.5</v>
      </c>
      <c r="AA241" s="3">
        <v>68.486553232481683</v>
      </c>
      <c r="AB241" s="6">
        <v>1.4896904158983615</v>
      </c>
      <c r="AC241" s="3">
        <v>45.973681847970205</v>
      </c>
      <c r="AD241" s="4">
        <v>928079.98076576553</v>
      </c>
      <c r="AE241" s="5">
        <v>1.3050857462697827E-2</v>
      </c>
      <c r="AL241" s="7">
        <v>-0.16325262706302179</v>
      </c>
      <c r="AN241" s="7">
        <v>-0.14274856221128107</v>
      </c>
      <c r="AO241" s="7">
        <v>-0.16069682142759112</v>
      </c>
      <c r="AP241" s="7">
        <v>-3.045151860115336E-3</v>
      </c>
      <c r="AQ241" s="7">
        <v>2.1384714933212479E-2</v>
      </c>
      <c r="AR241" s="7">
        <v>-2.3918379075141494E-2</v>
      </c>
      <c r="AS241" s="7">
        <v>-3.2789699293271135E-2</v>
      </c>
      <c r="AT241" s="8">
        <v>0.2034847230548158</v>
      </c>
    </row>
    <row r="242" spans="1:46" x14ac:dyDescent="0.3">
      <c r="A242" t="str">
        <f t="shared" si="18"/>
        <v>202408 &amp; Segm SDC &gt; Les Budget-conscious</v>
      </c>
      <c r="B242">
        <v>202408</v>
      </c>
      <c r="C242" t="s">
        <v>59</v>
      </c>
      <c r="D242" t="s">
        <v>66</v>
      </c>
      <c r="E242" s="4">
        <v>0</v>
      </c>
      <c r="F242" s="4">
        <v>61689095.107702643</v>
      </c>
      <c r="H242" s="2">
        <v>1324848.8738738738</v>
      </c>
      <c r="I242" s="2">
        <v>868048.5</v>
      </c>
      <c r="J242" s="3">
        <v>71.066415191896127</v>
      </c>
      <c r="K242" s="6">
        <v>1.5262383079676698</v>
      </c>
      <c r="L242" s="3">
        <v>46.563118499186245</v>
      </c>
      <c r="M242" s="53">
        <v>0.20564377464046019</v>
      </c>
      <c r="N242" s="53">
        <v>0.21184569831136318</v>
      </c>
      <c r="O242" s="4">
        <v>1572582.0424020265</v>
      </c>
      <c r="P242" s="5">
        <v>2.54920588421092E-2</v>
      </c>
      <c r="V242" s="4">
        <v>0</v>
      </c>
      <c r="W242" s="4">
        <v>70872088.431711718</v>
      </c>
      <c r="Y242" s="2">
        <v>1536655.6306306305</v>
      </c>
      <c r="Z242" s="2">
        <v>1032810.75</v>
      </c>
      <c r="AA242" s="3">
        <v>68.620595236553953</v>
      </c>
      <c r="AB242" s="6">
        <v>1.4878385325003933</v>
      </c>
      <c r="AC242" s="3">
        <v>46.120996154894129</v>
      </c>
      <c r="AD242" s="4">
        <v>1784669.6004054053</v>
      </c>
      <c r="AE242" s="5">
        <v>2.5181557929184077E-2</v>
      </c>
      <c r="AL242" s="7">
        <v>-0.12957136620656073</v>
      </c>
      <c r="AN242" s="7">
        <v>-0.13783618953703569</v>
      </c>
      <c r="AO242" s="7">
        <v>-0.15952801614429357</v>
      </c>
      <c r="AP242" s="7">
        <v>3.5642651406778914E-2</v>
      </c>
      <c r="AQ242" s="7">
        <v>2.5809101342968654E-2</v>
      </c>
      <c r="AR242" s="7">
        <v>9.5861403948709345E-3</v>
      </c>
      <c r="AS242" s="7">
        <v>-0.11883855586221737</v>
      </c>
      <c r="AT242" s="8">
        <v>3.1050091292512266E-2</v>
      </c>
    </row>
    <row r="243" spans="1:46" x14ac:dyDescent="0.3">
      <c r="A243" t="str">
        <f t="shared" si="18"/>
        <v>202406 &amp; Segm SDC &gt; Les Budget-conscious</v>
      </c>
      <c r="B243">
        <v>202406</v>
      </c>
      <c r="C243" t="s">
        <v>59</v>
      </c>
      <c r="D243" t="s">
        <v>66</v>
      </c>
      <c r="E243" s="4">
        <v>0</v>
      </c>
      <c r="F243" s="4">
        <v>59072016.149594583</v>
      </c>
      <c r="H243" s="2">
        <v>1307448.1981981981</v>
      </c>
      <c r="I243" s="2">
        <v>877407</v>
      </c>
      <c r="J243" s="3">
        <v>67.325672293011777</v>
      </c>
      <c r="K243" s="6">
        <v>1.490127384666635</v>
      </c>
      <c r="L243" s="3">
        <v>45.181152286570182</v>
      </c>
      <c r="M243" s="53">
        <v>0.212595174235821</v>
      </c>
      <c r="N243" s="53">
        <v>0.21730729579772304</v>
      </c>
      <c r="O243" s="4">
        <v>1578365.9357657661</v>
      </c>
      <c r="P243" s="5">
        <v>2.6719351033638261E-2</v>
      </c>
      <c r="V243" s="4">
        <v>0</v>
      </c>
      <c r="W243" s="4">
        <v>72666963.804864898</v>
      </c>
      <c r="Y243" s="2">
        <v>1579024.7747747747</v>
      </c>
      <c r="Z243" s="2">
        <v>1040979.75</v>
      </c>
      <c r="AA243" s="3">
        <v>69.806318331230642</v>
      </c>
      <c r="AB243" s="6">
        <v>1.5168640646225584</v>
      </c>
      <c r="AC243" s="3">
        <v>46.020154316596965</v>
      </c>
      <c r="AD243" s="4">
        <v>1446623.3280855846</v>
      </c>
      <c r="AE243" s="5">
        <v>1.9907579075001014E-2</v>
      </c>
      <c r="AL243" s="7">
        <v>-0.18708567061887016</v>
      </c>
      <c r="AN243" s="7">
        <v>-0.17199006685332918</v>
      </c>
      <c r="AO243" s="7">
        <v>-0.15713346008892104</v>
      </c>
      <c r="AP243" s="7">
        <v>-3.5536124773809297E-2</v>
      </c>
      <c r="AQ243" s="7">
        <v>-1.7626286085547394E-2</v>
      </c>
      <c r="AR243" s="7">
        <v>-1.8231186802522337E-2</v>
      </c>
      <c r="AS243" s="7">
        <v>9.1069046877963356E-2</v>
      </c>
      <c r="AT243" s="8">
        <v>0.68117719586372472</v>
      </c>
    </row>
    <row r="244" spans="1:46" x14ac:dyDescent="0.3">
      <c r="A244" t="str">
        <f t="shared" si="18"/>
        <v>202410 &amp; Segm SDC &gt; Les Budget-conscious</v>
      </c>
      <c r="B244">
        <v>202410</v>
      </c>
      <c r="C244" t="s">
        <v>59</v>
      </c>
      <c r="D244" t="s">
        <v>66</v>
      </c>
      <c r="E244" s="4">
        <v>0</v>
      </c>
      <c r="F244" s="4">
        <v>54212298.593873881</v>
      </c>
      <c r="H244" s="2">
        <v>1239754.2792792791</v>
      </c>
      <c r="I244" s="2">
        <v>803602.5</v>
      </c>
      <c r="J244" s="3">
        <v>67.461585291078464</v>
      </c>
      <c r="K244" s="6">
        <v>1.5427456724926554</v>
      </c>
      <c r="L244" s="3">
        <v>43.728260914243229</v>
      </c>
      <c r="M244" s="53">
        <v>0.18810919126374923</v>
      </c>
      <c r="N244" s="53">
        <v>0.19474421271788925</v>
      </c>
      <c r="O244" s="4">
        <v>1493505.9506756759</v>
      </c>
      <c r="P244" s="5">
        <v>2.7549209116996296E-2</v>
      </c>
      <c r="V244" s="4">
        <v>0</v>
      </c>
      <c r="W244" s="4">
        <v>69231073.572477445</v>
      </c>
      <c r="Y244" s="2">
        <v>1563678.8288288286</v>
      </c>
      <c r="Z244" s="2">
        <v>1042743.75</v>
      </c>
      <c r="AA244" s="3">
        <v>66.393180081374211</v>
      </c>
      <c r="AB244" s="6">
        <v>1.4995811088091668</v>
      </c>
      <c r="AC244" s="3">
        <v>44.274484181851115</v>
      </c>
      <c r="AD244" s="4">
        <v>1860509.0634909905</v>
      </c>
      <c r="AE244" s="5">
        <v>2.6873901667048956E-2</v>
      </c>
      <c r="AL244" s="7">
        <v>-0.21693690713723413</v>
      </c>
      <c r="AN244" s="7">
        <v>-0.2071554232093582</v>
      </c>
      <c r="AO244" s="7">
        <v>-0.2293384640281948</v>
      </c>
      <c r="AP244" s="7">
        <v>1.6092092717878037E-2</v>
      </c>
      <c r="AQ244" s="7">
        <v>2.8784414147338788E-2</v>
      </c>
      <c r="AR244" s="7">
        <v>-1.2337202289344651E-2</v>
      </c>
      <c r="AS244" s="7">
        <v>-0.19725951354769733</v>
      </c>
      <c r="AT244" s="8">
        <v>6.7530744994733979E-2</v>
      </c>
    </row>
    <row r="245" spans="1:46" x14ac:dyDescent="0.3">
      <c r="A245" t="str">
        <f t="shared" si="18"/>
        <v>202409 &amp; Segm SDC &gt; Les Budget-conscious</v>
      </c>
      <c r="B245">
        <v>202409</v>
      </c>
      <c r="C245" t="s">
        <v>59</v>
      </c>
      <c r="D245" t="s">
        <v>66</v>
      </c>
      <c r="E245" s="4">
        <v>0</v>
      </c>
      <c r="F245" s="4">
        <v>55322439.652387343</v>
      </c>
      <c r="H245" s="2">
        <v>1249294.8198198196</v>
      </c>
      <c r="I245" s="2">
        <v>854115.75</v>
      </c>
      <c r="J245" s="3">
        <v>64.771595246179857</v>
      </c>
      <c r="K245" s="6">
        <v>1.4626762471243735</v>
      </c>
      <c r="L245" s="3">
        <v>44.282933679630766</v>
      </c>
      <c r="M245" s="53">
        <v>0.2104679890319206</v>
      </c>
      <c r="N245" s="53">
        <v>0.21192848010927476</v>
      </c>
      <c r="O245" s="4">
        <v>1665308.9377362616</v>
      </c>
      <c r="P245" s="5">
        <v>3.0101870926156783E-2</v>
      </c>
      <c r="V245" s="4">
        <v>0</v>
      </c>
      <c r="W245" s="4">
        <v>71223724.356216177</v>
      </c>
      <c r="Y245" s="2">
        <v>1561464.8648648646</v>
      </c>
      <c r="Z245" s="2">
        <v>1042187.25</v>
      </c>
      <c r="AA245" s="3">
        <v>68.340621472980189</v>
      </c>
      <c r="AB245" s="6">
        <v>1.4982575011015196</v>
      </c>
      <c r="AC245" s="3">
        <v>45.613401850306865</v>
      </c>
      <c r="AD245" s="4">
        <v>1845034.3670495492</v>
      </c>
      <c r="AE245" s="5">
        <v>2.5904772373624416E-2</v>
      </c>
      <c r="AL245" s="7">
        <v>-0.22325825906408137</v>
      </c>
      <c r="AN245" s="7">
        <v>-0.19992127397119586</v>
      </c>
      <c r="AO245" s="7">
        <v>-0.18045845408298744</v>
      </c>
      <c r="AP245" s="7">
        <v>-5.2224082103371261E-2</v>
      </c>
      <c r="AQ245" s="7">
        <v>-2.3748423719545331E-2</v>
      </c>
      <c r="AR245" s="7">
        <v>-2.9168360979573538E-2</v>
      </c>
      <c r="AS245" s="7">
        <v>-9.7410342334539823E-2</v>
      </c>
      <c r="AT245" s="8">
        <v>0.41970985525323667</v>
      </c>
    </row>
    <row r="246" spans="1:46" x14ac:dyDescent="0.3">
      <c r="A246" t="str">
        <f t="shared" si="18"/>
        <v>202403 &amp; Segm SDC &gt; Les Budget-conscious</v>
      </c>
      <c r="B246">
        <v>202403</v>
      </c>
      <c r="C246" t="s">
        <v>59</v>
      </c>
      <c r="D246" t="s">
        <v>66</v>
      </c>
      <c r="E246" s="4">
        <v>0</v>
      </c>
      <c r="F246" s="4">
        <v>62620682.350270264</v>
      </c>
      <c r="H246" s="2">
        <v>1399968.018018018</v>
      </c>
      <c r="I246" s="2">
        <v>911998.5</v>
      </c>
      <c r="J246" s="3">
        <v>68.663141825639258</v>
      </c>
      <c r="K246" s="6">
        <v>1.5350551760973488</v>
      </c>
      <c r="L246" s="3">
        <v>44.730080647788284</v>
      </c>
      <c r="M246" s="53">
        <v>0.21739367625972311</v>
      </c>
      <c r="N246" s="53">
        <v>0.22514812400942069</v>
      </c>
      <c r="O246" s="4">
        <v>1504694.3923198204</v>
      </c>
      <c r="P246" s="5">
        <v>2.4028712812538145E-2</v>
      </c>
      <c r="V246" s="4">
        <v>0</v>
      </c>
      <c r="W246" s="4">
        <v>69517039.614189163</v>
      </c>
      <c r="Y246" s="2">
        <v>1578614.6396396395</v>
      </c>
      <c r="Z246" s="2">
        <v>1024230.75</v>
      </c>
      <c r="AA246" s="3">
        <v>67.872439500756215</v>
      </c>
      <c r="AB246" s="6">
        <v>1.5412685467992828</v>
      </c>
      <c r="AC246" s="3">
        <v>44.036738206138935</v>
      </c>
      <c r="AD246" s="4">
        <v>1831915.7653153152</v>
      </c>
      <c r="AE246" s="5">
        <v>2.6352039377427715E-2</v>
      </c>
      <c r="AL246" s="7">
        <v>-9.9203839838301722E-2</v>
      </c>
      <c r="AN246" s="7">
        <v>-0.11316670778018523</v>
      </c>
      <c r="AO246" s="7">
        <v>-0.10957711433678397</v>
      </c>
      <c r="AP246" s="7">
        <v>1.1649829160394809E-2</v>
      </c>
      <c r="AQ246" s="7">
        <v>-4.0313355611111268E-3</v>
      </c>
      <c r="AR246" s="7">
        <v>1.5744636635069753E-2</v>
      </c>
      <c r="AS246" s="7">
        <v>-0.17862249956627918</v>
      </c>
      <c r="AT246" s="8">
        <v>-0.23233265648895696</v>
      </c>
    </row>
    <row r="247" spans="1:46" x14ac:dyDescent="0.3">
      <c r="A247" t="str">
        <f t="shared" si="18"/>
        <v>202412 &amp; Segm SDC &gt; Les Budget-conscious</v>
      </c>
      <c r="B247">
        <v>202412</v>
      </c>
      <c r="C247" t="s">
        <v>59</v>
      </c>
      <c r="D247" t="s">
        <v>66</v>
      </c>
      <c r="E247" s="4">
        <v>0</v>
      </c>
      <c r="F247" s="4">
        <v>62535587.936081111</v>
      </c>
      <c r="H247" s="2">
        <v>1306908.1081081079</v>
      </c>
      <c r="I247" s="2">
        <v>811874.25</v>
      </c>
      <c r="J247" s="3">
        <v>77.026199483579035</v>
      </c>
      <c r="K247" s="6">
        <v>1.609742035922568</v>
      </c>
      <c r="L247" s="3">
        <v>47.850026752537481</v>
      </c>
      <c r="M247" s="53">
        <v>0.18454622026410833</v>
      </c>
      <c r="N247" s="53">
        <v>0.19069660432893143</v>
      </c>
      <c r="O247" s="4">
        <v>1624728.7910135139</v>
      </c>
      <c r="P247" s="5">
        <v>2.5980866969287666E-2</v>
      </c>
      <c r="V247" s="4">
        <v>0</v>
      </c>
      <c r="W247" s="4">
        <v>88272513.945855767</v>
      </c>
      <c r="Y247" s="2">
        <v>1773601.3513513512</v>
      </c>
      <c r="Z247" s="2">
        <v>1086800.25</v>
      </c>
      <c r="AA247" s="3">
        <v>81.222390173222507</v>
      </c>
      <c r="AB247" s="6">
        <v>1.6319478683882813</v>
      </c>
      <c r="AC247" s="3">
        <v>49.770211258916063</v>
      </c>
      <c r="AD247" s="4">
        <v>2901180.9650900899</v>
      </c>
      <c r="AE247" s="5">
        <v>3.2866187167498194E-2</v>
      </c>
      <c r="AL247" s="7">
        <v>-0.29156217331208067</v>
      </c>
      <c r="AN247" s="7">
        <v>-0.26313311212108514</v>
      </c>
      <c r="AO247" s="7">
        <v>-0.25296828925094561</v>
      </c>
      <c r="AP247" s="7">
        <v>-5.1662979637687068E-2</v>
      </c>
      <c r="AQ247" s="7">
        <v>-1.360694964333875E-2</v>
      </c>
      <c r="AR247" s="7">
        <v>-3.8580999714655451E-2</v>
      </c>
      <c r="AS247" s="7">
        <v>-0.43997675065296682</v>
      </c>
      <c r="AT247" s="8">
        <v>-0.68853201982105283</v>
      </c>
    </row>
    <row r="248" spans="1:46" x14ac:dyDescent="0.3">
      <c r="A248" t="str">
        <f t="shared" si="18"/>
        <v>202402 &amp; Segm SDC &gt; Les Budget-conscious</v>
      </c>
      <c r="B248">
        <v>202402</v>
      </c>
      <c r="C248" t="s">
        <v>59</v>
      </c>
      <c r="D248" t="s">
        <v>66</v>
      </c>
      <c r="E248" s="4">
        <v>0</v>
      </c>
      <c r="F248" s="4">
        <v>57268797.284999982</v>
      </c>
      <c r="H248" s="2">
        <v>1294789.8648648649</v>
      </c>
      <c r="I248" s="2">
        <v>893897.25</v>
      </c>
      <c r="J248" s="3">
        <v>64.066420704393025</v>
      </c>
      <c r="K248" s="6">
        <v>1.4484772884857458</v>
      </c>
      <c r="L248" s="3">
        <v>44.230186564656989</v>
      </c>
      <c r="M248" s="53">
        <v>0.22152427150114848</v>
      </c>
      <c r="N248" s="53">
        <v>0.22577092490151221</v>
      </c>
      <c r="O248" s="4">
        <v>1436935.7467567569</v>
      </c>
      <c r="P248" s="5">
        <v>2.5091076028815495E-2</v>
      </c>
      <c r="V248" s="4">
        <v>0</v>
      </c>
      <c r="W248" s="4">
        <v>60158546.103738725</v>
      </c>
      <c r="Y248" s="2">
        <v>1387477.4774774774</v>
      </c>
      <c r="Z248" s="2">
        <v>994832.25</v>
      </c>
      <c r="AA248" s="3">
        <v>60.471045348337597</v>
      </c>
      <c r="AB248" s="6">
        <v>1.3946848601635877</v>
      </c>
      <c r="AC248" s="3">
        <v>43.358214515388603</v>
      </c>
      <c r="AD248" s="4">
        <v>1345761.9846396397</v>
      </c>
      <c r="AE248" s="5">
        <v>2.2370254465907107E-2</v>
      </c>
      <c r="AL248" s="7">
        <v>-4.8035549492097096E-2</v>
      </c>
      <c r="AN248" s="7">
        <v>-6.6802967339783081E-2</v>
      </c>
      <c r="AO248" s="7">
        <v>-0.10145931638223427</v>
      </c>
      <c r="AP248" s="7">
        <v>5.945614691038692E-2</v>
      </c>
      <c r="AQ248" s="7">
        <v>3.8569593647018285E-2</v>
      </c>
      <c r="AR248" s="7">
        <v>2.0110884615853086E-2</v>
      </c>
      <c r="AS248" s="7">
        <v>6.7748801911306167E-2</v>
      </c>
      <c r="AT248" s="8">
        <v>0.27208215629083882</v>
      </c>
    </row>
    <row r="249" spans="1:46" x14ac:dyDescent="0.3">
      <c r="A249" t="str">
        <f t="shared" si="18"/>
        <v>202301 &amp; Segm SDC &gt; Les Eco-responsables</v>
      </c>
      <c r="B249">
        <v>202301</v>
      </c>
      <c r="C249" t="s">
        <v>59</v>
      </c>
      <c r="D249" t="s">
        <v>67</v>
      </c>
      <c r="E249" s="4">
        <v>0</v>
      </c>
      <c r="F249" s="4">
        <v>7744679.5001801811</v>
      </c>
      <c r="H249" s="2">
        <v>174157.20720720719</v>
      </c>
      <c r="I249" s="2">
        <v>130698</v>
      </c>
      <c r="J249" s="3">
        <v>59.256296960781199</v>
      </c>
      <c r="K249" s="6">
        <v>1.3325162374880044</v>
      </c>
      <c r="L249" s="3">
        <v>44.469474587783132</v>
      </c>
      <c r="M249" s="53">
        <v>3.14123050863254E-2</v>
      </c>
      <c r="N249" s="53">
        <v>3.4658338991586012E-2</v>
      </c>
      <c r="O249" s="4">
        <v>254239.93957207209</v>
      </c>
      <c r="P249" s="5">
        <v>3.2827690231229993E-2</v>
      </c>
    </row>
    <row r="250" spans="1:46" x14ac:dyDescent="0.3">
      <c r="A250" t="str">
        <f t="shared" si="18"/>
        <v>202302 &amp; Segm SDC &gt; Les Eco-responsables</v>
      </c>
      <c r="B250">
        <v>202302</v>
      </c>
      <c r="C250" t="s">
        <v>59</v>
      </c>
      <c r="D250" t="s">
        <v>67</v>
      </c>
      <c r="E250" s="4">
        <v>0</v>
      </c>
      <c r="F250" s="4">
        <v>7074264.7065765774</v>
      </c>
      <c r="H250" s="2">
        <v>159566.44144144142</v>
      </c>
      <c r="I250" s="2">
        <v>126238.5</v>
      </c>
      <c r="J250" s="3">
        <v>56.038884386114994</v>
      </c>
      <c r="K250" s="6">
        <v>1.2640077428157133</v>
      </c>
      <c r="L250" s="3">
        <v>44.334288855922942</v>
      </c>
      <c r="M250" s="53">
        <v>3.0614231556018247E-2</v>
      </c>
      <c r="N250" s="53">
        <v>3.3592793110681307E-2</v>
      </c>
      <c r="O250" s="4">
        <v>162608.34333333335</v>
      </c>
      <c r="P250" s="5">
        <v>2.2985900313026851E-2</v>
      </c>
    </row>
    <row r="251" spans="1:46" x14ac:dyDescent="0.3">
      <c r="A251" t="str">
        <f t="shared" si="18"/>
        <v>202212 &amp; Segm SDC &gt; Les Eco-responsables</v>
      </c>
      <c r="B251">
        <v>202212</v>
      </c>
      <c r="C251" t="s">
        <v>59</v>
      </c>
      <c r="D251" t="s">
        <v>67</v>
      </c>
      <c r="E251" s="4">
        <v>0</v>
      </c>
      <c r="F251" s="4">
        <v>9767792.9288738724</v>
      </c>
      <c r="H251" s="2">
        <v>200295.27027027027</v>
      </c>
      <c r="I251" s="2">
        <v>136454.25</v>
      </c>
      <c r="J251" s="3">
        <v>71.582914631635674</v>
      </c>
      <c r="K251" s="6">
        <v>1.4678565912770782</v>
      </c>
      <c r="L251" s="3">
        <v>48.76696746604955</v>
      </c>
      <c r="M251" s="53">
        <v>3.0524767386992994E-2</v>
      </c>
      <c r="N251" s="53">
        <v>3.4690412016211578E-2</v>
      </c>
      <c r="O251" s="4">
        <v>291388.40351351339</v>
      </c>
      <c r="P251" s="5">
        <v>2.9831550037487078E-2</v>
      </c>
    </row>
    <row r="252" spans="1:46" x14ac:dyDescent="0.3">
      <c r="A252" t="str">
        <f t="shared" si="18"/>
        <v>202305 &amp; Segm SDC &gt; Les Eco-responsables</v>
      </c>
      <c r="B252">
        <v>202305</v>
      </c>
      <c r="C252" t="s">
        <v>59</v>
      </c>
      <c r="D252" t="s">
        <v>67</v>
      </c>
      <c r="E252" s="4">
        <v>0</v>
      </c>
      <c r="F252" s="4">
        <v>33514075.437522531</v>
      </c>
      <c r="H252" s="2">
        <v>634654.27927927917</v>
      </c>
      <c r="I252" s="2">
        <v>447894</v>
      </c>
      <c r="J252" s="3">
        <v>74.825908446021899</v>
      </c>
      <c r="K252" s="6">
        <v>1.4169742824848719</v>
      </c>
      <c r="L252" s="3">
        <v>52.806821811052004</v>
      </c>
      <c r="M252" s="53">
        <v>0.12484097416871179</v>
      </c>
      <c r="N252" s="53">
        <v>0.11516139781429532</v>
      </c>
      <c r="O252" s="4">
        <v>669423.50551801769</v>
      </c>
      <c r="P252" s="5">
        <v>1.9974398719904047E-2</v>
      </c>
    </row>
    <row r="253" spans="1:46" x14ac:dyDescent="0.3">
      <c r="A253" t="str">
        <f t="shared" si="18"/>
        <v>202301 &amp; Segm SDC &gt; Les Eco-responsables</v>
      </c>
      <c r="B253">
        <v>202301</v>
      </c>
      <c r="C253" t="s">
        <v>59</v>
      </c>
      <c r="D253" t="s">
        <v>67</v>
      </c>
      <c r="E253" s="4">
        <v>0</v>
      </c>
      <c r="F253" s="4">
        <v>30292824.795405399</v>
      </c>
      <c r="H253" s="2">
        <v>611881.30630630627</v>
      </c>
      <c r="I253" s="2">
        <v>437368.5</v>
      </c>
      <c r="J253" s="3">
        <v>69.261560435663284</v>
      </c>
      <c r="K253" s="6">
        <v>1.3990063443213361</v>
      </c>
      <c r="L253" s="3">
        <v>49.507681446049745</v>
      </c>
      <c r="M253" s="53">
        <v>0.12286724768632955</v>
      </c>
      <c r="N253" s="53">
        <v>0.1159808546208931</v>
      </c>
      <c r="O253" s="4">
        <v>1111020.5729729729</v>
      </c>
      <c r="P253" s="5">
        <v>3.667603072597854E-2</v>
      </c>
    </row>
    <row r="254" spans="1:46" x14ac:dyDescent="0.3">
      <c r="A254" t="str">
        <f t="shared" si="18"/>
        <v>202309 &amp; Segm SDC &gt; Les Eco-responsables</v>
      </c>
      <c r="B254">
        <v>202309</v>
      </c>
      <c r="C254" t="s">
        <v>59</v>
      </c>
      <c r="D254" t="s">
        <v>67</v>
      </c>
      <c r="E254" s="4">
        <v>0</v>
      </c>
      <c r="F254" s="4">
        <v>32641066.279504508</v>
      </c>
      <c r="H254" s="2">
        <v>643991.66666666663</v>
      </c>
      <c r="I254" s="2">
        <v>448289.25</v>
      </c>
      <c r="J254" s="3">
        <v>72.812511742149752</v>
      </c>
      <c r="K254" s="6">
        <v>1.4365538916373004</v>
      </c>
      <c r="L254" s="3">
        <v>50.685541395987798</v>
      </c>
      <c r="M254" s="53">
        <v>0.1216352125342456</v>
      </c>
      <c r="N254" s="53">
        <v>0.11473000436869984</v>
      </c>
      <c r="O254" s="4">
        <v>1021101.8757177922</v>
      </c>
      <c r="P254" s="5">
        <v>3.1282736506648597E-2</v>
      </c>
    </row>
    <row r="255" spans="1:46" x14ac:dyDescent="0.3">
      <c r="A255" t="str">
        <f t="shared" si="18"/>
        <v>202212 &amp; Segm SDC &gt; Les Eco-responsables</v>
      </c>
      <c r="B255">
        <v>202212</v>
      </c>
      <c r="C255" t="s">
        <v>59</v>
      </c>
      <c r="D255" t="s">
        <v>67</v>
      </c>
      <c r="E255" s="4">
        <v>0</v>
      </c>
      <c r="F255" s="4">
        <v>9767792.9288738724</v>
      </c>
      <c r="H255" s="2">
        <v>200295.27027027027</v>
      </c>
      <c r="I255" s="2">
        <v>136454.25</v>
      </c>
      <c r="J255" s="3">
        <v>71.582914631635674</v>
      </c>
      <c r="K255" s="6">
        <v>1.4678565912770782</v>
      </c>
      <c r="L255" s="3">
        <v>48.76696746604955</v>
      </c>
      <c r="M255" s="53">
        <v>3.0524767386992994E-2</v>
      </c>
      <c r="N255" s="53">
        <v>3.4690412016211578E-2</v>
      </c>
      <c r="O255" s="4">
        <v>291388.40351351339</v>
      </c>
      <c r="P255" s="5">
        <v>2.9831550037487078E-2</v>
      </c>
    </row>
    <row r="256" spans="1:46" x14ac:dyDescent="0.3">
      <c r="A256" t="str">
        <f t="shared" si="18"/>
        <v>202305 &amp; Segm SDC &gt; Les Eco-responsables</v>
      </c>
      <c r="B256">
        <v>202305</v>
      </c>
      <c r="C256" t="s">
        <v>59</v>
      </c>
      <c r="D256" t="s">
        <v>67</v>
      </c>
      <c r="E256" s="4">
        <v>0</v>
      </c>
      <c r="F256" s="4">
        <v>8204851.3934684675</v>
      </c>
      <c r="H256" s="2">
        <v>175088.96396396394</v>
      </c>
      <c r="I256" s="2">
        <v>131174.25</v>
      </c>
      <c r="J256" s="3">
        <v>62.549253328823816</v>
      </c>
      <c r="K256" s="6">
        <v>1.3347815136275902</v>
      </c>
      <c r="L256" s="3">
        <v>46.861042567806585</v>
      </c>
      <c r="M256" s="53">
        <v>3.0563326826056569E-2</v>
      </c>
      <c r="N256" s="53">
        <v>3.3727198817670764E-2</v>
      </c>
      <c r="O256" s="4">
        <v>155253.08159909904</v>
      </c>
      <c r="P256" s="5">
        <v>1.8922107684081809E-2</v>
      </c>
    </row>
    <row r="257" spans="1:16" x14ac:dyDescent="0.3">
      <c r="A257" t="str">
        <f t="shared" si="18"/>
        <v>202302 &amp; Segm SDC &gt; Les Eco-responsables</v>
      </c>
      <c r="B257">
        <v>202302</v>
      </c>
      <c r="C257" t="s">
        <v>59</v>
      </c>
      <c r="D257" t="s">
        <v>67</v>
      </c>
      <c r="E257" s="4">
        <v>0</v>
      </c>
      <c r="F257" s="4">
        <v>28319186.982702713</v>
      </c>
      <c r="H257" s="2">
        <v>569777.02702702698</v>
      </c>
      <c r="I257" s="2">
        <v>431863.5</v>
      </c>
      <c r="J257" s="3">
        <v>65.574393257829641</v>
      </c>
      <c r="K257" s="6">
        <v>1.3193451797316211</v>
      </c>
      <c r="L257" s="3">
        <v>49.702226729754429</v>
      </c>
      <c r="M257" s="53">
        <v>0.12255268691891913</v>
      </c>
      <c r="N257" s="53">
        <v>0.11492136873897199</v>
      </c>
      <c r="O257" s="4">
        <v>776568.86603603617</v>
      </c>
      <c r="P257" s="5">
        <v>2.7422004258468382E-2</v>
      </c>
    </row>
    <row r="258" spans="1:16" x14ac:dyDescent="0.3">
      <c r="A258" t="str">
        <f t="shared" ref="A258:A321" si="19">_xlfn.CONCAT(B258," &amp; ",C258," &gt; ",D258)</f>
        <v>202303 &amp; Segm SDC &gt; Les Eco-responsables</v>
      </c>
      <c r="B258">
        <v>202303</v>
      </c>
      <c r="C258" t="s">
        <v>59</v>
      </c>
      <c r="D258" t="s">
        <v>67</v>
      </c>
      <c r="E258" s="4">
        <v>0</v>
      </c>
      <c r="F258" s="4">
        <v>8161126.6110360408</v>
      </c>
      <c r="H258" s="2">
        <v>181418.24324324323</v>
      </c>
      <c r="I258" s="2">
        <v>130222.5</v>
      </c>
      <c r="J258" s="3">
        <v>62.670633807798502</v>
      </c>
      <c r="K258" s="6">
        <v>1.3931405344179633</v>
      </c>
      <c r="L258" s="3">
        <v>44.985148489690246</v>
      </c>
      <c r="M258" s="53">
        <v>3.0734032336053044E-2</v>
      </c>
      <c r="N258" s="53">
        <v>3.3659133376666504E-2</v>
      </c>
      <c r="O258" s="4">
        <v>218173.41804054056</v>
      </c>
      <c r="P258" s="5">
        <v>2.6733247557452589E-2</v>
      </c>
    </row>
    <row r="259" spans="1:16" x14ac:dyDescent="0.3">
      <c r="A259" t="str">
        <f t="shared" si="19"/>
        <v>202308 &amp; Segm SDC &gt; Les Eco-responsables</v>
      </c>
      <c r="B259">
        <v>202308</v>
      </c>
      <c r="C259" t="s">
        <v>59</v>
      </c>
      <c r="D259" t="s">
        <v>67</v>
      </c>
      <c r="E259" s="4">
        <v>0</v>
      </c>
      <c r="F259" s="4">
        <v>33534133.75211712</v>
      </c>
      <c r="H259" s="2">
        <v>650483.55855855846</v>
      </c>
      <c r="I259" s="2">
        <v>449437.5</v>
      </c>
      <c r="J259" s="3">
        <v>74.613564182154633</v>
      </c>
      <c r="K259" s="6">
        <v>1.4473281792430726</v>
      </c>
      <c r="L259" s="3">
        <v>51.552623138434448</v>
      </c>
      <c r="M259" s="53">
        <v>0.12148074451678902</v>
      </c>
      <c r="N259" s="53">
        <v>0.11480364505644106</v>
      </c>
      <c r="O259" s="4">
        <v>882081.81763513526</v>
      </c>
      <c r="P259" s="5">
        <v>2.6303998909154663E-2</v>
      </c>
    </row>
    <row r="260" spans="1:16" x14ac:dyDescent="0.3">
      <c r="A260" t="str">
        <f t="shared" si="19"/>
        <v>202309 &amp; Segm SDC &gt; Les Eco-responsables</v>
      </c>
      <c r="B260">
        <v>202309</v>
      </c>
      <c r="C260" t="s">
        <v>59</v>
      </c>
      <c r="D260" t="s">
        <v>67</v>
      </c>
      <c r="E260" s="4">
        <v>0</v>
      </c>
      <c r="F260" s="4">
        <v>32641066.279504508</v>
      </c>
      <c r="H260" s="2">
        <v>643991.66666666663</v>
      </c>
      <c r="I260" s="2">
        <v>448289.25</v>
      </c>
      <c r="J260" s="3">
        <v>72.812511742149752</v>
      </c>
      <c r="K260" s="6">
        <v>1.4365538916373004</v>
      </c>
      <c r="L260" s="3">
        <v>50.685541395987798</v>
      </c>
      <c r="M260" s="53">
        <v>0.1216352125342456</v>
      </c>
      <c r="N260" s="53">
        <v>0.11473000436869984</v>
      </c>
      <c r="O260" s="4">
        <v>1021101.8757177922</v>
      </c>
      <c r="P260" s="5">
        <v>3.1282736506648597E-2</v>
      </c>
    </row>
    <row r="261" spans="1:16" x14ac:dyDescent="0.3">
      <c r="A261" t="str">
        <f t="shared" si="19"/>
        <v>202304 &amp; Segm SDC &gt; Les Eco-responsables</v>
      </c>
      <c r="B261">
        <v>202304</v>
      </c>
      <c r="C261" t="s">
        <v>59</v>
      </c>
      <c r="D261" t="s">
        <v>67</v>
      </c>
      <c r="E261" s="4">
        <v>0</v>
      </c>
      <c r="F261" s="4">
        <v>33139238.278063077</v>
      </c>
      <c r="H261" s="2">
        <v>630981.30630630627</v>
      </c>
      <c r="I261" s="2">
        <v>449554.5</v>
      </c>
      <c r="J261" s="3">
        <v>73.715730302028064</v>
      </c>
      <c r="K261" s="6">
        <v>1.4035702151937224</v>
      </c>
      <c r="L261" s="3">
        <v>52.520158595595262</v>
      </c>
      <c r="M261" s="53">
        <v>0.12043512074938155</v>
      </c>
      <c r="N261" s="53">
        <v>0.11424873725340703</v>
      </c>
      <c r="O261" s="4">
        <v>743769.81150900922</v>
      </c>
      <c r="P261" s="5">
        <v>2.2443781153574573E-2</v>
      </c>
    </row>
    <row r="262" spans="1:16" x14ac:dyDescent="0.3">
      <c r="A262" t="str">
        <f t="shared" si="19"/>
        <v>202308 &amp; Segm SDC &gt; Les Eco-responsables</v>
      </c>
      <c r="B262">
        <v>202308</v>
      </c>
      <c r="C262" t="s">
        <v>59</v>
      </c>
      <c r="D262" t="s">
        <v>67</v>
      </c>
      <c r="E262" s="4">
        <v>0</v>
      </c>
      <c r="F262" s="4">
        <v>8332658.1240991009</v>
      </c>
      <c r="H262" s="2">
        <v>180361.93693693692</v>
      </c>
      <c r="I262" s="2">
        <v>131849.25</v>
      </c>
      <c r="J262" s="3">
        <v>63.198373324831962</v>
      </c>
      <c r="K262" s="6">
        <v>1.3679405604274346</v>
      </c>
      <c r="L262" s="3">
        <v>46.199648693130818</v>
      </c>
      <c r="M262" s="53">
        <v>3.0185885229718275E-2</v>
      </c>
      <c r="N262" s="53">
        <v>3.3679375881981277E-2</v>
      </c>
      <c r="O262" s="4">
        <v>204486.01200450456</v>
      </c>
      <c r="P262" s="5">
        <v>2.4540309821796859E-2</v>
      </c>
    </row>
    <row r="263" spans="1:16" x14ac:dyDescent="0.3">
      <c r="A263" t="str">
        <f t="shared" si="19"/>
        <v>202311 &amp; Segm SDC &gt; Les Eco-responsables</v>
      </c>
      <c r="B263">
        <v>202311</v>
      </c>
      <c r="C263" t="s">
        <v>59</v>
      </c>
      <c r="D263" t="s">
        <v>67</v>
      </c>
      <c r="E263" s="4">
        <v>0</v>
      </c>
      <c r="F263" s="4">
        <v>32891836.342792805</v>
      </c>
      <c r="H263" s="2">
        <v>631149.09909909905</v>
      </c>
      <c r="I263" s="2">
        <v>448614.75</v>
      </c>
      <c r="J263" s="3">
        <v>73.31866895324508</v>
      </c>
      <c r="K263" s="6">
        <v>1.4068844127374303</v>
      </c>
      <c r="L263" s="3">
        <v>52.11420944709031</v>
      </c>
      <c r="M263" s="53">
        <v>0.1211578220529104</v>
      </c>
      <c r="N263" s="53">
        <v>0.11425713274963764</v>
      </c>
      <c r="O263" s="4">
        <v>1963787.2387387394</v>
      </c>
      <c r="P263" s="5">
        <v>5.9704396503512357E-2</v>
      </c>
    </row>
    <row r="264" spans="1:16" x14ac:dyDescent="0.3">
      <c r="A264" t="str">
        <f t="shared" si="19"/>
        <v>202306 &amp; Segm SDC &gt; Les Eco-responsables</v>
      </c>
      <c r="B264">
        <v>202306</v>
      </c>
      <c r="C264" t="s">
        <v>59</v>
      </c>
      <c r="D264" t="s">
        <v>67</v>
      </c>
      <c r="E264" s="4">
        <v>0</v>
      </c>
      <c r="F264" s="4">
        <v>8520493.4551801831</v>
      </c>
      <c r="H264" s="2">
        <v>182147.29729729728</v>
      </c>
      <c r="I264" s="2">
        <v>132186.75</v>
      </c>
      <c r="J264" s="3">
        <v>64.457999422636405</v>
      </c>
      <c r="K264" s="6">
        <v>1.3779542752756784</v>
      </c>
      <c r="L264" s="3">
        <v>46.778039430764643</v>
      </c>
      <c r="M264" s="53">
        <v>3.066315466041538E-2</v>
      </c>
      <c r="N264" s="53">
        <v>3.3785878170403329E-2</v>
      </c>
      <c r="O264" s="4">
        <v>190900.36934684683</v>
      </c>
      <c r="P264" s="5">
        <v>2.2404849009159865E-2</v>
      </c>
    </row>
    <row r="265" spans="1:16" x14ac:dyDescent="0.3">
      <c r="A265" t="str">
        <f t="shared" si="19"/>
        <v>202307 &amp; Segm SDC &gt; Les Eco-responsables</v>
      </c>
      <c r="B265">
        <v>202307</v>
      </c>
      <c r="C265" t="s">
        <v>59</v>
      </c>
      <c r="D265" t="s">
        <v>67</v>
      </c>
      <c r="E265" s="4">
        <v>0</v>
      </c>
      <c r="F265" s="4">
        <v>8404612.1992792804</v>
      </c>
      <c r="H265" s="2">
        <v>180830.18018018018</v>
      </c>
      <c r="I265" s="2">
        <v>132346.5</v>
      </c>
      <c r="J265" s="3">
        <v>63.50460495199556</v>
      </c>
      <c r="K265" s="6">
        <v>1.366338967635564</v>
      </c>
      <c r="L265" s="3">
        <v>46.477928578652516</v>
      </c>
      <c r="M265" s="53">
        <v>3.0481577395207651E-2</v>
      </c>
      <c r="N265" s="53">
        <v>3.3736422228543984E-2</v>
      </c>
      <c r="O265" s="4">
        <v>115116.69459459455</v>
      </c>
      <c r="P265" s="5">
        <v>1.3696847857473559E-2</v>
      </c>
    </row>
    <row r="266" spans="1:16" x14ac:dyDescent="0.3">
      <c r="A266" t="str">
        <f t="shared" si="19"/>
        <v>202302 &amp; Segm SDC &gt; Les Eco-responsables</v>
      </c>
      <c r="B266">
        <v>202302</v>
      </c>
      <c r="C266" t="s">
        <v>59</v>
      </c>
      <c r="D266" t="s">
        <v>67</v>
      </c>
      <c r="E266" s="4">
        <v>0</v>
      </c>
      <c r="F266" s="4">
        <v>28319186.982702713</v>
      </c>
      <c r="H266" s="2">
        <v>569777.02702702698</v>
      </c>
      <c r="I266" s="2">
        <v>431863.5</v>
      </c>
      <c r="J266" s="3">
        <v>65.574393257829641</v>
      </c>
      <c r="K266" s="6">
        <v>1.3193451797316211</v>
      </c>
      <c r="L266" s="3">
        <v>49.702226729754429</v>
      </c>
      <c r="M266" s="53">
        <v>0.12255268691891913</v>
      </c>
      <c r="N266" s="53">
        <v>0.11492136873897199</v>
      </c>
      <c r="O266" s="4">
        <v>776568.86603603617</v>
      </c>
      <c r="P266" s="5">
        <v>2.7422004258468382E-2</v>
      </c>
    </row>
    <row r="267" spans="1:16" x14ac:dyDescent="0.3">
      <c r="A267" t="str">
        <f t="shared" si="19"/>
        <v>202212 &amp; Segm SDC &gt; Les Eco-responsables</v>
      </c>
      <c r="B267">
        <v>202212</v>
      </c>
      <c r="C267" t="s">
        <v>59</v>
      </c>
      <c r="D267" t="s">
        <v>67</v>
      </c>
      <c r="E267" s="4">
        <v>0</v>
      </c>
      <c r="F267" s="4">
        <v>37963997.974639662</v>
      </c>
      <c r="H267" s="2">
        <v>702676.80180180178</v>
      </c>
      <c r="I267" s="2">
        <v>455401.5</v>
      </c>
      <c r="J267" s="3">
        <v>83.363796506247041</v>
      </c>
      <c r="K267" s="6">
        <v>1.5429830639596087</v>
      </c>
      <c r="L267" s="3">
        <v>54.027680830351152</v>
      </c>
      <c r="M267" s="53">
        <v>0.11863910462624351</v>
      </c>
      <c r="N267" s="53">
        <v>0.11577554871175338</v>
      </c>
      <c r="O267" s="4">
        <v>1185522.0594819817</v>
      </c>
      <c r="P267" s="5">
        <v>3.122753457825813E-2</v>
      </c>
    </row>
    <row r="268" spans="1:16" x14ac:dyDescent="0.3">
      <c r="A268" t="str">
        <f t="shared" si="19"/>
        <v>202301 &amp; Segm SDC &gt; Les Eco-responsables</v>
      </c>
      <c r="B268">
        <v>202301</v>
      </c>
      <c r="C268" t="s">
        <v>59</v>
      </c>
      <c r="D268" t="s">
        <v>67</v>
      </c>
      <c r="E268" s="4">
        <v>0</v>
      </c>
      <c r="F268" s="4">
        <v>30292824.795405399</v>
      </c>
      <c r="H268" s="2">
        <v>611881.30630630627</v>
      </c>
      <c r="I268" s="2">
        <v>437368.5</v>
      </c>
      <c r="J268" s="3">
        <v>69.261560435663284</v>
      </c>
      <c r="K268" s="6">
        <v>1.3990063443213361</v>
      </c>
      <c r="L268" s="3">
        <v>49.507681446049745</v>
      </c>
      <c r="M268" s="53">
        <v>0.12286724768632955</v>
      </c>
      <c r="N268" s="53">
        <v>0.1159808546208931</v>
      </c>
      <c r="O268" s="4">
        <v>1111020.5729729729</v>
      </c>
      <c r="P268" s="5">
        <v>3.667603072597854E-2</v>
      </c>
    </row>
    <row r="269" spans="1:16" x14ac:dyDescent="0.3">
      <c r="A269" t="str">
        <f t="shared" si="19"/>
        <v>202307 &amp; Segm SDC &gt; Les Eco-responsables</v>
      </c>
      <c r="B269">
        <v>202307</v>
      </c>
      <c r="C269" t="s">
        <v>59</v>
      </c>
      <c r="D269" t="s">
        <v>67</v>
      </c>
      <c r="E269" s="4">
        <v>0</v>
      </c>
      <c r="F269" s="4">
        <v>8404612.1992792804</v>
      </c>
      <c r="H269" s="2">
        <v>180830.18018018018</v>
      </c>
      <c r="I269" s="2">
        <v>132346.5</v>
      </c>
      <c r="J269" s="3">
        <v>63.50460495199556</v>
      </c>
      <c r="K269" s="6">
        <v>1.366338967635564</v>
      </c>
      <c r="L269" s="3">
        <v>46.477928578652516</v>
      </c>
      <c r="M269" s="53">
        <v>3.0481577395207651E-2</v>
      </c>
      <c r="N269" s="53">
        <v>3.3736422228543984E-2</v>
      </c>
      <c r="O269" s="4">
        <v>115116.69459459455</v>
      </c>
      <c r="P269" s="5">
        <v>1.3696847857473559E-2</v>
      </c>
    </row>
    <row r="270" spans="1:16" x14ac:dyDescent="0.3">
      <c r="A270" t="str">
        <f t="shared" si="19"/>
        <v>202302 &amp; Segm SDC &gt; Les Eco-responsables</v>
      </c>
      <c r="B270">
        <v>202302</v>
      </c>
      <c r="C270" t="s">
        <v>59</v>
      </c>
      <c r="D270" t="s">
        <v>67</v>
      </c>
      <c r="E270" s="4">
        <v>0</v>
      </c>
      <c r="F270" s="4">
        <v>7074264.7065765774</v>
      </c>
      <c r="H270" s="2">
        <v>159566.44144144142</v>
      </c>
      <c r="I270" s="2">
        <v>126238.5</v>
      </c>
      <c r="J270" s="3">
        <v>56.038884386114994</v>
      </c>
      <c r="K270" s="6">
        <v>1.2640077428157133</v>
      </c>
      <c r="L270" s="3">
        <v>44.334288855922942</v>
      </c>
      <c r="M270" s="53">
        <v>3.0614231556018247E-2</v>
      </c>
      <c r="N270" s="53">
        <v>3.3592793110681307E-2</v>
      </c>
      <c r="O270" s="4">
        <v>162608.34333333335</v>
      </c>
      <c r="P270" s="5">
        <v>2.2985900313026851E-2</v>
      </c>
    </row>
    <row r="271" spans="1:16" x14ac:dyDescent="0.3">
      <c r="A271" t="str">
        <f t="shared" si="19"/>
        <v>202305 &amp; Segm SDC &gt; Les Eco-responsables</v>
      </c>
      <c r="B271">
        <v>202305</v>
      </c>
      <c r="C271" t="s">
        <v>59</v>
      </c>
      <c r="D271" t="s">
        <v>67</v>
      </c>
      <c r="E271" s="4">
        <v>0</v>
      </c>
      <c r="F271" s="4">
        <v>8204851.3934684675</v>
      </c>
      <c r="H271" s="2">
        <v>175088.96396396394</v>
      </c>
      <c r="I271" s="2">
        <v>131174.25</v>
      </c>
      <c r="J271" s="3">
        <v>62.549253328823816</v>
      </c>
      <c r="K271" s="6">
        <v>1.3347815136275902</v>
      </c>
      <c r="L271" s="3">
        <v>46.861042567806585</v>
      </c>
      <c r="M271" s="53">
        <v>3.0563326826056569E-2</v>
      </c>
      <c r="N271" s="53">
        <v>3.3727198817670764E-2</v>
      </c>
      <c r="O271" s="4">
        <v>155253.08159909904</v>
      </c>
      <c r="P271" s="5">
        <v>1.8922107684081809E-2</v>
      </c>
    </row>
    <row r="272" spans="1:16" x14ac:dyDescent="0.3">
      <c r="A272" t="str">
        <f t="shared" si="19"/>
        <v>202309 &amp; Segm SDC &gt; Les Eco-responsables</v>
      </c>
      <c r="B272">
        <v>202309</v>
      </c>
      <c r="C272" t="s">
        <v>59</v>
      </c>
      <c r="D272" t="s">
        <v>67</v>
      </c>
      <c r="E272" s="4">
        <v>0</v>
      </c>
      <c r="F272" s="4">
        <v>8282193.9419819862</v>
      </c>
      <c r="H272" s="2">
        <v>180651.12612612612</v>
      </c>
      <c r="I272" s="2">
        <v>132428.25</v>
      </c>
      <c r="J272" s="3">
        <v>62.540990626863874</v>
      </c>
      <c r="K272" s="6">
        <v>1.3641434220124944</v>
      </c>
      <c r="L272" s="3">
        <v>45.846345492469084</v>
      </c>
      <c r="M272" s="53">
        <v>3.0863159057257141E-2</v>
      </c>
      <c r="N272" s="53">
        <v>3.3892166053589898E-2</v>
      </c>
      <c r="O272" s="4">
        <v>235111.96648648637</v>
      </c>
      <c r="P272" s="5">
        <v>2.8387643193757722E-2</v>
      </c>
    </row>
    <row r="273" spans="1:16" x14ac:dyDescent="0.3">
      <c r="A273" t="str">
        <f t="shared" si="19"/>
        <v>202212 &amp; Segm SDC &gt; Les Eco-responsables</v>
      </c>
      <c r="B273">
        <v>202212</v>
      </c>
      <c r="C273" t="s">
        <v>59</v>
      </c>
      <c r="D273" t="s">
        <v>67</v>
      </c>
      <c r="E273" s="4">
        <v>0</v>
      </c>
      <c r="F273" s="4">
        <v>37963997.974639662</v>
      </c>
      <c r="H273" s="2">
        <v>702676.80180180178</v>
      </c>
      <c r="I273" s="2">
        <v>455401.5</v>
      </c>
      <c r="J273" s="3">
        <v>83.363796506247041</v>
      </c>
      <c r="K273" s="6">
        <v>1.5429830639596087</v>
      </c>
      <c r="L273" s="3">
        <v>54.027680830351152</v>
      </c>
      <c r="M273" s="53">
        <v>0.11863910462624351</v>
      </c>
      <c r="N273" s="53">
        <v>0.11577554871175338</v>
      </c>
      <c r="O273" s="4">
        <v>1185522.0594819817</v>
      </c>
      <c r="P273" s="5">
        <v>3.122753457825813E-2</v>
      </c>
    </row>
    <row r="274" spans="1:16" x14ac:dyDescent="0.3">
      <c r="A274" t="str">
        <f t="shared" si="19"/>
        <v>202304 &amp; Segm SDC &gt; Les Eco-responsables</v>
      </c>
      <c r="B274">
        <v>202304</v>
      </c>
      <c r="C274" t="s">
        <v>59</v>
      </c>
      <c r="D274" t="s">
        <v>67</v>
      </c>
      <c r="E274" s="4">
        <v>0</v>
      </c>
      <c r="F274" s="4">
        <v>8450090.2815315276</v>
      </c>
      <c r="H274" s="2">
        <v>178449.32432432432</v>
      </c>
      <c r="I274" s="2">
        <v>132803.25</v>
      </c>
      <c r="J274" s="3">
        <v>63.628640726273851</v>
      </c>
      <c r="K274" s="6">
        <v>1.3437120275620087</v>
      </c>
      <c r="L274" s="3">
        <v>47.352884711257495</v>
      </c>
      <c r="M274" s="53">
        <v>3.070944584966806E-2</v>
      </c>
      <c r="N274" s="53">
        <v>3.3750309730296385E-2</v>
      </c>
      <c r="O274" s="4">
        <v>175768.67891891894</v>
      </c>
      <c r="P274" s="5">
        <v>2.0800804850934912E-2</v>
      </c>
    </row>
    <row r="275" spans="1:16" x14ac:dyDescent="0.3">
      <c r="A275" t="str">
        <f t="shared" si="19"/>
        <v>202303 &amp; Segm SDC &gt; Les Eco-responsables</v>
      </c>
      <c r="B275">
        <v>202303</v>
      </c>
      <c r="C275" t="s">
        <v>59</v>
      </c>
      <c r="D275" t="s">
        <v>67</v>
      </c>
      <c r="E275" s="4">
        <v>0</v>
      </c>
      <c r="F275" s="4">
        <v>8161126.6110360408</v>
      </c>
      <c r="H275" s="2">
        <v>181418.24324324323</v>
      </c>
      <c r="I275" s="2">
        <v>130222.5</v>
      </c>
      <c r="J275" s="3">
        <v>62.670633807798502</v>
      </c>
      <c r="K275" s="6">
        <v>1.3931405344179633</v>
      </c>
      <c r="L275" s="3">
        <v>44.985148489690246</v>
      </c>
      <c r="M275" s="53">
        <v>3.0734032336053044E-2</v>
      </c>
      <c r="N275" s="53">
        <v>3.3659133376666504E-2</v>
      </c>
      <c r="O275" s="4">
        <v>218173.41804054056</v>
      </c>
      <c r="P275" s="5">
        <v>2.6733247557452589E-2</v>
      </c>
    </row>
    <row r="276" spans="1:16" x14ac:dyDescent="0.3">
      <c r="A276" t="str">
        <f t="shared" si="19"/>
        <v>202306 &amp; Segm SDC &gt; Les Eco-responsables</v>
      </c>
      <c r="B276">
        <v>202306</v>
      </c>
      <c r="C276" t="s">
        <v>59</v>
      </c>
      <c r="D276" t="s">
        <v>67</v>
      </c>
      <c r="E276" s="4">
        <v>0</v>
      </c>
      <c r="F276" s="4">
        <v>34032518.683963962</v>
      </c>
      <c r="H276" s="2">
        <v>654596.17117117113</v>
      </c>
      <c r="I276" s="2">
        <v>449453.25</v>
      </c>
      <c r="J276" s="3">
        <v>75.719818877634012</v>
      </c>
      <c r="K276" s="6">
        <v>1.456427717835328</v>
      </c>
      <c r="L276" s="3">
        <v>51.99009738030496</v>
      </c>
      <c r="M276" s="53">
        <v>0.12247464180087152</v>
      </c>
      <c r="N276" s="53">
        <v>0.11487666311329864</v>
      </c>
      <c r="O276" s="4">
        <v>875918.56718468468</v>
      </c>
      <c r="P276" s="5">
        <v>2.5737694448028477E-2</v>
      </c>
    </row>
    <row r="277" spans="1:16" x14ac:dyDescent="0.3">
      <c r="A277" t="str">
        <f t="shared" si="19"/>
        <v>202311 &amp; Segm SDC &gt; Les Eco-responsables</v>
      </c>
      <c r="B277">
        <v>202311</v>
      </c>
      <c r="C277" t="s">
        <v>59</v>
      </c>
      <c r="D277" t="s">
        <v>67</v>
      </c>
      <c r="E277" s="4">
        <v>0</v>
      </c>
      <c r="F277" s="4">
        <v>8301269.2785135172</v>
      </c>
      <c r="H277" s="2">
        <v>176335.13513513512</v>
      </c>
      <c r="I277" s="2">
        <v>132073.5</v>
      </c>
      <c r="J277" s="3">
        <v>62.853405706016098</v>
      </c>
      <c r="K277" s="6">
        <v>1.3351288118747147</v>
      </c>
      <c r="L277" s="3">
        <v>47.076660429311531</v>
      </c>
      <c r="M277" s="53">
        <v>3.0577912877151156E-2</v>
      </c>
      <c r="N277" s="53">
        <v>3.3637635459398664E-2</v>
      </c>
      <c r="O277" s="4">
        <v>454470.56441441446</v>
      </c>
      <c r="P277" s="5">
        <v>5.4747117478858021E-2</v>
      </c>
    </row>
    <row r="278" spans="1:16" x14ac:dyDescent="0.3">
      <c r="A278" t="str">
        <f t="shared" si="19"/>
        <v>202310 &amp; Segm SDC &gt; Les Eco-responsables</v>
      </c>
      <c r="B278">
        <v>202310</v>
      </c>
      <c r="C278" t="s">
        <v>59</v>
      </c>
      <c r="D278" t="s">
        <v>67</v>
      </c>
      <c r="E278" s="4">
        <v>0</v>
      </c>
      <c r="F278" s="4">
        <v>8153423.4128378313</v>
      </c>
      <c r="H278" s="2">
        <v>181115.3153153153</v>
      </c>
      <c r="I278" s="2">
        <v>132847.5</v>
      </c>
      <c r="J278" s="3">
        <v>61.374308231903733</v>
      </c>
      <c r="K278" s="6">
        <v>1.3633325076897593</v>
      </c>
      <c r="L278" s="3">
        <v>45.017857262059877</v>
      </c>
      <c r="M278" s="53">
        <v>3.0779106226199726E-2</v>
      </c>
      <c r="N278" s="53">
        <v>3.3813947122111054E-2</v>
      </c>
      <c r="O278" s="4">
        <v>246656.44943400906</v>
      </c>
      <c r="P278" s="5">
        <v>3.0251887697337099E-2</v>
      </c>
    </row>
    <row r="279" spans="1:16" x14ac:dyDescent="0.3">
      <c r="A279" t="str">
        <f t="shared" si="19"/>
        <v>202310 &amp; Segm SDC &gt; Les Eco-responsables</v>
      </c>
      <c r="B279">
        <v>202310</v>
      </c>
      <c r="C279" t="s">
        <v>59</v>
      </c>
      <c r="D279" t="s">
        <v>67</v>
      </c>
      <c r="E279" s="4">
        <v>0</v>
      </c>
      <c r="F279" s="4">
        <v>8153423.4128378313</v>
      </c>
      <c r="H279" s="2">
        <v>181115.3153153153</v>
      </c>
      <c r="I279" s="2">
        <v>132847.5</v>
      </c>
      <c r="J279" s="3">
        <v>61.374308231903733</v>
      </c>
      <c r="K279" s="6">
        <v>1.3633325076897593</v>
      </c>
      <c r="L279" s="3">
        <v>45.017857262059877</v>
      </c>
      <c r="M279" s="53">
        <v>3.0779106226199726E-2</v>
      </c>
      <c r="N279" s="53">
        <v>3.3813947122111054E-2</v>
      </c>
      <c r="O279" s="4">
        <v>246656.44943400906</v>
      </c>
      <c r="P279" s="5">
        <v>3.0251887697337099E-2</v>
      </c>
    </row>
    <row r="280" spans="1:16" x14ac:dyDescent="0.3">
      <c r="A280" t="str">
        <f t="shared" si="19"/>
        <v>202303 &amp; Segm SDC &gt; Les Eco-responsables</v>
      </c>
      <c r="B280">
        <v>202303</v>
      </c>
      <c r="C280" t="s">
        <v>59</v>
      </c>
      <c r="D280" t="s">
        <v>67</v>
      </c>
      <c r="E280" s="4">
        <v>0</v>
      </c>
      <c r="F280" s="4">
        <v>32636211.044909913</v>
      </c>
      <c r="H280" s="2">
        <v>646714.86486486485</v>
      </c>
      <c r="I280" s="2">
        <v>441675</v>
      </c>
      <c r="J280" s="3">
        <v>73.891913839157553</v>
      </c>
      <c r="K280" s="6">
        <v>1.4642324443648946</v>
      </c>
      <c r="L280" s="3">
        <v>50.46460630177328</v>
      </c>
      <c r="M280" s="53">
        <v>0.1229048896538536</v>
      </c>
      <c r="N280" s="53">
        <v>0.11416151382548467</v>
      </c>
      <c r="O280" s="4">
        <v>920540.25869369332</v>
      </c>
      <c r="P280" s="5">
        <v>2.8206100807074686E-2</v>
      </c>
    </row>
    <row r="281" spans="1:16" x14ac:dyDescent="0.3">
      <c r="A281" t="str">
        <f t="shared" si="19"/>
        <v>202311 &amp; Segm SDC &gt; Les Eco-responsables</v>
      </c>
      <c r="B281">
        <v>202311</v>
      </c>
      <c r="C281" t="s">
        <v>59</v>
      </c>
      <c r="D281" t="s">
        <v>67</v>
      </c>
      <c r="E281" s="4">
        <v>0</v>
      </c>
      <c r="F281" s="4">
        <v>8301269.2785135172</v>
      </c>
      <c r="H281" s="2">
        <v>176335.13513513512</v>
      </c>
      <c r="I281" s="2">
        <v>132073.5</v>
      </c>
      <c r="J281" s="3">
        <v>62.853405706016098</v>
      </c>
      <c r="K281" s="6">
        <v>1.3351288118747147</v>
      </c>
      <c r="L281" s="3">
        <v>47.076660429311531</v>
      </c>
      <c r="M281" s="53">
        <v>3.0577912877151156E-2</v>
      </c>
      <c r="N281" s="53">
        <v>3.3637635459398664E-2</v>
      </c>
      <c r="O281" s="4">
        <v>454470.56441441446</v>
      </c>
      <c r="P281" s="5">
        <v>5.4747117478858021E-2</v>
      </c>
    </row>
    <row r="282" spans="1:16" x14ac:dyDescent="0.3">
      <c r="A282" t="str">
        <f t="shared" si="19"/>
        <v>202307 &amp; Segm SDC &gt; Les Eco-responsables</v>
      </c>
      <c r="B282">
        <v>202307</v>
      </c>
      <c r="C282" t="s">
        <v>59</v>
      </c>
      <c r="D282" t="s">
        <v>67</v>
      </c>
      <c r="E282" s="4">
        <v>0</v>
      </c>
      <c r="F282" s="4">
        <v>33510154.176486466</v>
      </c>
      <c r="H282" s="2">
        <v>649748.87387387385</v>
      </c>
      <c r="I282" s="2">
        <v>451671</v>
      </c>
      <c r="J282" s="3">
        <v>74.191511468494696</v>
      </c>
      <c r="K282" s="6">
        <v>1.4385445908058605</v>
      </c>
      <c r="L282" s="3">
        <v>51.574008857753398</v>
      </c>
      <c r="M282" s="53">
        <v>0.12153355013137962</v>
      </c>
      <c r="N282" s="53">
        <v>0.11513537240794952</v>
      </c>
      <c r="O282" s="4">
        <v>487669.03245202708</v>
      </c>
      <c r="P282" s="5">
        <v>1.455287343303889E-2</v>
      </c>
    </row>
    <row r="283" spans="1:16" x14ac:dyDescent="0.3">
      <c r="A283" t="str">
        <f t="shared" si="19"/>
        <v>202308 &amp; Segm SDC &gt; Les Eco-responsables</v>
      </c>
      <c r="B283">
        <v>202308</v>
      </c>
      <c r="C283" t="s">
        <v>59</v>
      </c>
      <c r="D283" t="s">
        <v>67</v>
      </c>
      <c r="E283" s="4">
        <v>0</v>
      </c>
      <c r="F283" s="4">
        <v>33534133.75211712</v>
      </c>
      <c r="H283" s="2">
        <v>650483.55855855846</v>
      </c>
      <c r="I283" s="2">
        <v>449437.5</v>
      </c>
      <c r="J283" s="3">
        <v>74.613564182154633</v>
      </c>
      <c r="K283" s="6">
        <v>1.4473281792430726</v>
      </c>
      <c r="L283" s="3">
        <v>51.552623138434448</v>
      </c>
      <c r="M283" s="53">
        <v>0.12148074451678902</v>
      </c>
      <c r="N283" s="53">
        <v>0.11480364505644106</v>
      </c>
      <c r="O283" s="4">
        <v>882081.81763513526</v>
      </c>
      <c r="P283" s="5">
        <v>2.6303998909154663E-2</v>
      </c>
    </row>
    <row r="284" spans="1:16" x14ac:dyDescent="0.3">
      <c r="A284" t="str">
        <f t="shared" si="19"/>
        <v>202301 &amp; Segm SDC &gt; Les Eco-responsables</v>
      </c>
      <c r="B284">
        <v>202301</v>
      </c>
      <c r="C284" t="s">
        <v>59</v>
      </c>
      <c r="D284" t="s">
        <v>67</v>
      </c>
      <c r="E284" s="4">
        <v>0</v>
      </c>
      <c r="F284" s="4">
        <v>7744679.5001801811</v>
      </c>
      <c r="H284" s="2">
        <v>174157.20720720719</v>
      </c>
      <c r="I284" s="2">
        <v>130698</v>
      </c>
      <c r="J284" s="3">
        <v>59.256296960781199</v>
      </c>
      <c r="K284" s="6">
        <v>1.3325162374880044</v>
      </c>
      <c r="L284" s="3">
        <v>44.469474587783132</v>
      </c>
      <c r="M284" s="53">
        <v>3.14123050863254E-2</v>
      </c>
      <c r="N284" s="53">
        <v>3.4658338991586012E-2</v>
      </c>
      <c r="O284" s="4">
        <v>254239.93957207209</v>
      </c>
      <c r="P284" s="5">
        <v>3.2827690231229993E-2</v>
      </c>
    </row>
    <row r="285" spans="1:16" x14ac:dyDescent="0.3">
      <c r="A285" t="str">
        <f t="shared" si="19"/>
        <v>202307 &amp; Segm SDC &gt; Les Eco-responsables</v>
      </c>
      <c r="B285">
        <v>202307</v>
      </c>
      <c r="C285" t="s">
        <v>59</v>
      </c>
      <c r="D285" t="s">
        <v>67</v>
      </c>
      <c r="E285" s="4">
        <v>0</v>
      </c>
      <c r="F285" s="4">
        <v>33510154.176486466</v>
      </c>
      <c r="H285" s="2">
        <v>649748.87387387385</v>
      </c>
      <c r="I285" s="2">
        <v>451671</v>
      </c>
      <c r="J285" s="3">
        <v>74.191511468494696</v>
      </c>
      <c r="K285" s="6">
        <v>1.4385445908058605</v>
      </c>
      <c r="L285" s="3">
        <v>51.574008857753398</v>
      </c>
      <c r="M285" s="53">
        <v>0.12153355013137962</v>
      </c>
      <c r="N285" s="53">
        <v>0.11513537240794952</v>
      </c>
      <c r="O285" s="4">
        <v>487669.03245202708</v>
      </c>
      <c r="P285" s="5">
        <v>1.455287343303889E-2</v>
      </c>
    </row>
    <row r="286" spans="1:16" x14ac:dyDescent="0.3">
      <c r="A286" t="str">
        <f t="shared" si="19"/>
        <v>202309 &amp; Segm SDC &gt; Les Eco-responsables</v>
      </c>
      <c r="B286">
        <v>202309</v>
      </c>
      <c r="C286" t="s">
        <v>59</v>
      </c>
      <c r="D286" t="s">
        <v>67</v>
      </c>
      <c r="E286" s="4">
        <v>0</v>
      </c>
      <c r="F286" s="4">
        <v>8282193.9419819862</v>
      </c>
      <c r="H286" s="2">
        <v>180651.12612612612</v>
      </c>
      <c r="I286" s="2">
        <v>132428.25</v>
      </c>
      <c r="J286" s="3">
        <v>62.540990626863874</v>
      </c>
      <c r="K286" s="6">
        <v>1.3641434220124944</v>
      </c>
      <c r="L286" s="3">
        <v>45.846345492469084</v>
      </c>
      <c r="M286" s="53">
        <v>3.0863159057257141E-2</v>
      </c>
      <c r="N286" s="53">
        <v>3.3892166053589898E-2</v>
      </c>
      <c r="O286" s="4">
        <v>235111.96648648637</v>
      </c>
      <c r="P286" s="5">
        <v>2.8387643193757722E-2</v>
      </c>
    </row>
    <row r="287" spans="1:16" x14ac:dyDescent="0.3">
      <c r="A287" t="str">
        <f t="shared" si="19"/>
        <v>202310 &amp; Segm SDC &gt; Les Eco-responsables</v>
      </c>
      <c r="B287">
        <v>202310</v>
      </c>
      <c r="C287" t="s">
        <v>59</v>
      </c>
      <c r="D287" t="s">
        <v>67</v>
      </c>
      <c r="E287" s="4">
        <v>0</v>
      </c>
      <c r="F287" s="4">
        <v>32513086.886441439</v>
      </c>
      <c r="H287" s="2">
        <v>651032.43243243243</v>
      </c>
      <c r="I287" s="2">
        <v>451924.5</v>
      </c>
      <c r="J287" s="3">
        <v>71.943625287943973</v>
      </c>
      <c r="K287" s="6">
        <v>1.4405778673925234</v>
      </c>
      <c r="L287" s="3">
        <v>49.940809807222344</v>
      </c>
      <c r="M287" s="53">
        <v>0.12273663519593134</v>
      </c>
      <c r="N287" s="53">
        <v>0.11502927150444289</v>
      </c>
      <c r="O287" s="4">
        <v>1083737.984752252</v>
      </c>
      <c r="P287" s="5">
        <v>3.3332362089684903E-2</v>
      </c>
    </row>
    <row r="288" spans="1:16" x14ac:dyDescent="0.3">
      <c r="A288" t="str">
        <f t="shared" si="19"/>
        <v>202311 &amp; Segm SDC &gt; Les Eco-responsables</v>
      </c>
      <c r="B288">
        <v>202311</v>
      </c>
      <c r="C288" t="s">
        <v>59</v>
      </c>
      <c r="D288" t="s">
        <v>67</v>
      </c>
      <c r="E288" s="4">
        <v>0</v>
      </c>
      <c r="F288" s="4">
        <v>32891836.342792805</v>
      </c>
      <c r="H288" s="2">
        <v>631149.09909909905</v>
      </c>
      <c r="I288" s="2">
        <v>448614.75</v>
      </c>
      <c r="J288" s="3">
        <v>73.31866895324508</v>
      </c>
      <c r="K288" s="6">
        <v>1.4068844127374303</v>
      </c>
      <c r="L288" s="3">
        <v>52.11420944709031</v>
      </c>
      <c r="M288" s="53">
        <v>0.1211578220529104</v>
      </c>
      <c r="N288" s="53">
        <v>0.11425713274963764</v>
      </c>
      <c r="O288" s="4">
        <v>1963787.2387387394</v>
      </c>
      <c r="P288" s="5">
        <v>5.9704396503512357E-2</v>
      </c>
    </row>
    <row r="289" spans="1:46" x14ac:dyDescent="0.3">
      <c r="A289" t="str">
        <f t="shared" si="19"/>
        <v>202306 &amp; Segm SDC &gt; Les Eco-responsables</v>
      </c>
      <c r="B289">
        <v>202306</v>
      </c>
      <c r="C289" t="s">
        <v>59</v>
      </c>
      <c r="D289" t="s">
        <v>67</v>
      </c>
      <c r="E289" s="4">
        <v>0</v>
      </c>
      <c r="F289" s="4">
        <v>8520493.4551801831</v>
      </c>
      <c r="H289" s="2">
        <v>182147.29729729728</v>
      </c>
      <c r="I289" s="2">
        <v>132186.75</v>
      </c>
      <c r="J289" s="3">
        <v>64.457999422636405</v>
      </c>
      <c r="K289" s="6">
        <v>1.3779542752756784</v>
      </c>
      <c r="L289" s="3">
        <v>46.778039430764643</v>
      </c>
      <c r="M289" s="53">
        <v>3.066315466041538E-2</v>
      </c>
      <c r="N289" s="53">
        <v>3.3785878170403329E-2</v>
      </c>
      <c r="O289" s="4">
        <v>190900.36934684683</v>
      </c>
      <c r="P289" s="5">
        <v>2.2404849009159865E-2</v>
      </c>
    </row>
    <row r="290" spans="1:46" x14ac:dyDescent="0.3">
      <c r="A290" t="str">
        <f t="shared" si="19"/>
        <v>202305 &amp; Segm SDC &gt; Les Eco-responsables</v>
      </c>
      <c r="B290">
        <v>202305</v>
      </c>
      <c r="C290" t="s">
        <v>59</v>
      </c>
      <c r="D290" t="s">
        <v>67</v>
      </c>
      <c r="E290" s="4">
        <v>0</v>
      </c>
      <c r="F290" s="4">
        <v>33514075.437522531</v>
      </c>
      <c r="H290" s="2">
        <v>634654.27927927917</v>
      </c>
      <c r="I290" s="2">
        <v>447894</v>
      </c>
      <c r="J290" s="3">
        <v>74.825908446021899</v>
      </c>
      <c r="K290" s="6">
        <v>1.4169742824848719</v>
      </c>
      <c r="L290" s="3">
        <v>52.806821811052004</v>
      </c>
      <c r="M290" s="53">
        <v>0.12484097416871179</v>
      </c>
      <c r="N290" s="53">
        <v>0.11516139781429532</v>
      </c>
      <c r="O290" s="4">
        <v>669423.50551801769</v>
      </c>
      <c r="P290" s="5">
        <v>1.9974398719904047E-2</v>
      </c>
    </row>
    <row r="291" spans="1:46" x14ac:dyDescent="0.3">
      <c r="A291" t="str">
        <f t="shared" si="19"/>
        <v>202308 &amp; Segm SDC &gt; Les Eco-responsables</v>
      </c>
      <c r="B291">
        <v>202308</v>
      </c>
      <c r="C291" t="s">
        <v>59</v>
      </c>
      <c r="D291" t="s">
        <v>67</v>
      </c>
      <c r="E291" s="4">
        <v>0</v>
      </c>
      <c r="F291" s="4">
        <v>8332658.1240991009</v>
      </c>
      <c r="H291" s="2">
        <v>180361.93693693692</v>
      </c>
      <c r="I291" s="2">
        <v>131849.25</v>
      </c>
      <c r="J291" s="3">
        <v>63.198373324831962</v>
      </c>
      <c r="K291" s="6">
        <v>1.3679405604274346</v>
      </c>
      <c r="L291" s="3">
        <v>46.199648693130818</v>
      </c>
      <c r="M291" s="53">
        <v>3.0185885229718275E-2</v>
      </c>
      <c r="N291" s="53">
        <v>3.3679375881981277E-2</v>
      </c>
      <c r="O291" s="4">
        <v>204486.01200450456</v>
      </c>
      <c r="P291" s="5">
        <v>2.4540309821796859E-2</v>
      </c>
    </row>
    <row r="292" spans="1:46" x14ac:dyDescent="0.3">
      <c r="A292" t="str">
        <f t="shared" si="19"/>
        <v>202306 &amp; Segm SDC &gt; Les Eco-responsables</v>
      </c>
      <c r="B292">
        <v>202306</v>
      </c>
      <c r="C292" t="s">
        <v>59</v>
      </c>
      <c r="D292" t="s">
        <v>67</v>
      </c>
      <c r="E292" s="4">
        <v>0</v>
      </c>
      <c r="F292" s="4">
        <v>34032518.683963962</v>
      </c>
      <c r="H292" s="2">
        <v>654596.17117117113</v>
      </c>
      <c r="I292" s="2">
        <v>449453.25</v>
      </c>
      <c r="J292" s="3">
        <v>75.719818877634012</v>
      </c>
      <c r="K292" s="6">
        <v>1.456427717835328</v>
      </c>
      <c r="L292" s="3">
        <v>51.99009738030496</v>
      </c>
      <c r="M292" s="53">
        <v>0.12247464180087152</v>
      </c>
      <c r="N292" s="53">
        <v>0.11487666311329864</v>
      </c>
      <c r="O292" s="4">
        <v>875918.56718468468</v>
      </c>
      <c r="P292" s="5">
        <v>2.5737694448028477E-2</v>
      </c>
    </row>
    <row r="293" spans="1:46" x14ac:dyDescent="0.3">
      <c r="A293" t="str">
        <f t="shared" si="19"/>
        <v>202304 &amp; Segm SDC &gt; Les Eco-responsables</v>
      </c>
      <c r="B293">
        <v>202304</v>
      </c>
      <c r="C293" t="s">
        <v>59</v>
      </c>
      <c r="D293" t="s">
        <v>67</v>
      </c>
      <c r="E293" s="4">
        <v>0</v>
      </c>
      <c r="F293" s="4">
        <v>33139238.278063077</v>
      </c>
      <c r="H293" s="2">
        <v>630981.30630630627</v>
      </c>
      <c r="I293" s="2">
        <v>449554.5</v>
      </c>
      <c r="J293" s="3">
        <v>73.715730302028064</v>
      </c>
      <c r="K293" s="6">
        <v>1.4035702151937224</v>
      </c>
      <c r="L293" s="3">
        <v>52.520158595595262</v>
      </c>
      <c r="M293" s="53">
        <v>0.12043512074938155</v>
      </c>
      <c r="N293" s="53">
        <v>0.11424873725340703</v>
      </c>
      <c r="O293" s="4">
        <v>743769.81150900922</v>
      </c>
      <c r="P293" s="5">
        <v>2.2443781153574573E-2</v>
      </c>
    </row>
    <row r="294" spans="1:46" x14ac:dyDescent="0.3">
      <c r="A294" t="str">
        <f t="shared" si="19"/>
        <v>202303 &amp; Segm SDC &gt; Les Eco-responsables</v>
      </c>
      <c r="B294" s="1">
        <v>202303</v>
      </c>
      <c r="C294" t="s">
        <v>59</v>
      </c>
      <c r="D294" t="s">
        <v>67</v>
      </c>
      <c r="E294" s="4">
        <v>0</v>
      </c>
      <c r="F294" s="4">
        <v>32636211.044909913</v>
      </c>
      <c r="H294" s="2">
        <v>646714.86486486485</v>
      </c>
      <c r="I294" s="2">
        <v>441675</v>
      </c>
      <c r="J294" s="3">
        <v>73.891913839157553</v>
      </c>
      <c r="K294" s="6">
        <v>1.4642324443648946</v>
      </c>
      <c r="L294" s="3">
        <v>50.46460630177328</v>
      </c>
      <c r="M294" s="53">
        <v>0.1229048896538536</v>
      </c>
      <c r="N294" s="53">
        <v>0.11416151382548467</v>
      </c>
      <c r="O294" s="4">
        <v>920540.25869369332</v>
      </c>
      <c r="P294" s="5">
        <v>2.8206100807074686E-2</v>
      </c>
    </row>
    <row r="295" spans="1:46" x14ac:dyDescent="0.3">
      <c r="A295" t="str">
        <f t="shared" si="19"/>
        <v>202310 &amp; Segm SDC &gt; Les Eco-responsables</v>
      </c>
      <c r="B295" s="1">
        <v>202310</v>
      </c>
      <c r="C295" t="s">
        <v>59</v>
      </c>
      <c r="D295" t="s">
        <v>67</v>
      </c>
      <c r="E295" s="4">
        <v>0</v>
      </c>
      <c r="F295" s="4">
        <v>32513086.886441439</v>
      </c>
      <c r="H295" s="2">
        <v>651032.43243243243</v>
      </c>
      <c r="I295" s="2">
        <v>451924.5</v>
      </c>
      <c r="J295" s="3">
        <v>71.943625287943973</v>
      </c>
      <c r="K295" s="6">
        <v>1.4405778673925234</v>
      </c>
      <c r="L295" s="3">
        <v>49.940809807222344</v>
      </c>
      <c r="M295" s="53">
        <v>0.12273663519593134</v>
      </c>
      <c r="N295" s="53">
        <v>0.11502927150444289</v>
      </c>
      <c r="O295" s="4">
        <v>1083737.984752252</v>
      </c>
      <c r="P295" s="5">
        <v>3.3332362089684903E-2</v>
      </c>
    </row>
    <row r="296" spans="1:46" x14ac:dyDescent="0.3">
      <c r="A296" t="str">
        <f t="shared" si="19"/>
        <v>202304 &amp; Segm SDC &gt; Les Eco-responsables</v>
      </c>
      <c r="B296" s="1">
        <v>202304</v>
      </c>
      <c r="C296" t="s">
        <v>59</v>
      </c>
      <c r="D296" t="s">
        <v>67</v>
      </c>
      <c r="E296" s="4">
        <v>0</v>
      </c>
      <c r="F296" s="4">
        <v>8450090.2815315276</v>
      </c>
      <c r="H296" s="2">
        <v>178449.32432432432</v>
      </c>
      <c r="I296" s="2">
        <v>132803.25</v>
      </c>
      <c r="J296" s="3">
        <v>63.628640726273851</v>
      </c>
      <c r="K296" s="6">
        <v>1.3437120275620087</v>
      </c>
      <c r="L296" s="3">
        <v>47.352884711257495</v>
      </c>
      <c r="M296" s="53">
        <v>3.070944584966806E-2</v>
      </c>
      <c r="N296" s="53">
        <v>3.3750309730296385E-2</v>
      </c>
      <c r="O296" s="4">
        <v>175768.67891891894</v>
      </c>
      <c r="P296" s="5">
        <v>2.0800804850934912E-2</v>
      </c>
    </row>
    <row r="297" spans="1:46" x14ac:dyDescent="0.3">
      <c r="A297" t="str">
        <f t="shared" si="19"/>
        <v>202412 &amp; Segm SDC &gt; Les Eco-responsables</v>
      </c>
      <c r="B297">
        <v>202412</v>
      </c>
      <c r="C297" t="s">
        <v>59</v>
      </c>
      <c r="D297" t="s">
        <v>67</v>
      </c>
      <c r="E297" s="4">
        <v>0</v>
      </c>
      <c r="F297" s="4">
        <v>43754276.390045032</v>
      </c>
      <c r="H297" s="2">
        <v>817924.99999999988</v>
      </c>
      <c r="I297" s="2">
        <v>521979.75</v>
      </c>
      <c r="J297" s="3">
        <v>83.823704636137762</v>
      </c>
      <c r="K297" s="6">
        <v>1.5669669177779404</v>
      </c>
      <c r="L297" s="3">
        <v>53.494240168774688</v>
      </c>
      <c r="M297" s="53">
        <v>0.12912145859134203</v>
      </c>
      <c r="N297" s="53">
        <v>0.12260490569009246</v>
      </c>
      <c r="O297" s="4">
        <v>1299284.3349774778</v>
      </c>
      <c r="P297" s="5">
        <v>2.9695025084978684E-2</v>
      </c>
      <c r="V297" s="4">
        <v>0</v>
      </c>
      <c r="W297" s="4">
        <v>40120704.161666669</v>
      </c>
      <c r="Y297" s="2">
        <v>729314.18918918911</v>
      </c>
      <c r="Z297" s="2">
        <v>463236.75</v>
      </c>
      <c r="AA297" s="3">
        <v>86.609501861988861</v>
      </c>
      <c r="AB297" s="6">
        <v>1.5743875873172608</v>
      </c>
      <c r="AC297" s="3">
        <v>55.011550243209491</v>
      </c>
      <c r="AD297" s="4">
        <v>1484406.4127477473</v>
      </c>
      <c r="AE297" s="5">
        <v>3.6998513454956347E-2</v>
      </c>
      <c r="AL297" s="7">
        <v>9.0566013341562002E-2</v>
      </c>
      <c r="AN297" s="7">
        <v>0.12149881645566674</v>
      </c>
      <c r="AO297" s="7">
        <v>0.12680988716892605</v>
      </c>
      <c r="AP297" s="7">
        <v>-3.2165030002022532E-2</v>
      </c>
      <c r="AQ297" s="7">
        <v>-4.7133689309410975E-3</v>
      </c>
      <c r="AR297" s="7">
        <v>-2.758166362748693E-2</v>
      </c>
      <c r="AS297" s="7">
        <v>-0.12471118164168715</v>
      </c>
      <c r="AT297" s="8">
        <v>-0.73034883699776632</v>
      </c>
    </row>
    <row r="298" spans="1:46" x14ac:dyDescent="0.3">
      <c r="A298" t="str">
        <f t="shared" si="19"/>
        <v>202412 &amp; Segm SDC &gt; Les Eco-responsables</v>
      </c>
      <c r="B298">
        <v>202412</v>
      </c>
      <c r="C298" t="s">
        <v>59</v>
      </c>
      <c r="D298" t="s">
        <v>67</v>
      </c>
      <c r="E298" s="4">
        <v>0</v>
      </c>
      <c r="F298" s="4">
        <v>43754276.390045032</v>
      </c>
      <c r="H298" s="2">
        <v>817924.99999999988</v>
      </c>
      <c r="I298" s="2">
        <v>521979.75</v>
      </c>
      <c r="J298" s="3">
        <v>83.823704636137762</v>
      </c>
      <c r="K298" s="6">
        <v>1.5669669177779404</v>
      </c>
      <c r="L298" s="3">
        <v>53.494240168774688</v>
      </c>
      <c r="M298" s="53">
        <v>0.12912145859134203</v>
      </c>
      <c r="N298" s="53">
        <v>0.12260490569009246</v>
      </c>
      <c r="O298" s="4">
        <v>1299284.3349774778</v>
      </c>
      <c r="P298" s="5">
        <v>2.9695025084978684E-2</v>
      </c>
      <c r="V298" s="4">
        <v>0</v>
      </c>
      <c r="W298" s="4">
        <v>40120704.161666669</v>
      </c>
      <c r="Y298" s="2">
        <v>729314.18918918911</v>
      </c>
      <c r="Z298" s="2">
        <v>463236.75</v>
      </c>
      <c r="AA298" s="3">
        <v>86.609501861988861</v>
      </c>
      <c r="AB298" s="6">
        <v>1.5743875873172608</v>
      </c>
      <c r="AC298" s="3">
        <v>55.011550243209491</v>
      </c>
      <c r="AD298" s="4">
        <v>1484406.4127477473</v>
      </c>
      <c r="AE298" s="5">
        <v>3.6998513454956347E-2</v>
      </c>
      <c r="AL298" s="7">
        <v>9.0566013341562002E-2</v>
      </c>
      <c r="AN298" s="7">
        <v>0.12149881645566674</v>
      </c>
      <c r="AO298" s="7">
        <v>0.12680988716892605</v>
      </c>
      <c r="AP298" s="7">
        <v>-3.2165030002022532E-2</v>
      </c>
      <c r="AQ298" s="7">
        <v>-4.7133689309410975E-3</v>
      </c>
      <c r="AR298" s="7">
        <v>-2.758166362748693E-2</v>
      </c>
      <c r="AS298" s="7">
        <v>-0.12471118164168715</v>
      </c>
      <c r="AT298" s="8">
        <v>-0.73034883699776632</v>
      </c>
    </row>
    <row r="299" spans="1:46" x14ac:dyDescent="0.3">
      <c r="A299" t="str">
        <f t="shared" si="19"/>
        <v>202412 &amp; Segm SDC &gt; Les Eco-responsables</v>
      </c>
      <c r="B299">
        <v>202412</v>
      </c>
      <c r="C299" t="s">
        <v>59</v>
      </c>
      <c r="D299" t="s">
        <v>67</v>
      </c>
      <c r="E299" s="4">
        <v>0</v>
      </c>
      <c r="F299" s="4">
        <v>43754276.390045032</v>
      </c>
      <c r="H299" s="2">
        <v>817924.99999999988</v>
      </c>
      <c r="I299" s="2">
        <v>521979.75</v>
      </c>
      <c r="J299" s="3">
        <v>83.823704636137762</v>
      </c>
      <c r="K299" s="6">
        <v>1.5669669177779404</v>
      </c>
      <c r="L299" s="3">
        <v>53.494240168774688</v>
      </c>
      <c r="M299" s="53">
        <v>0.12912145859134203</v>
      </c>
      <c r="N299" s="53">
        <v>0.12260490569009246</v>
      </c>
      <c r="O299" s="4">
        <v>1299284.3349774778</v>
      </c>
      <c r="P299" s="5">
        <v>2.9695025084978684E-2</v>
      </c>
      <c r="V299" s="4">
        <v>0</v>
      </c>
      <c r="W299" s="4">
        <v>40120704.161666669</v>
      </c>
      <c r="Y299" s="2">
        <v>729314.18918918911</v>
      </c>
      <c r="Z299" s="2">
        <v>463236.75</v>
      </c>
      <c r="AA299" s="3">
        <v>86.609501861988861</v>
      </c>
      <c r="AB299" s="6">
        <v>1.5743875873172608</v>
      </c>
      <c r="AC299" s="3">
        <v>55.011550243209491</v>
      </c>
      <c r="AD299" s="4">
        <v>1484406.4127477473</v>
      </c>
      <c r="AE299" s="5">
        <v>3.6998513454956347E-2</v>
      </c>
      <c r="AL299" s="7">
        <v>9.0566013341562002E-2</v>
      </c>
      <c r="AN299" s="7">
        <v>0.12149881645566674</v>
      </c>
      <c r="AO299" s="7">
        <v>0.12680988716892605</v>
      </c>
      <c r="AP299" s="7">
        <v>-3.2165030002022532E-2</v>
      </c>
      <c r="AQ299" s="7">
        <v>-4.7133689309410975E-3</v>
      </c>
      <c r="AR299" s="7">
        <v>-2.758166362748693E-2</v>
      </c>
      <c r="AS299" s="7">
        <v>-0.12471118164168715</v>
      </c>
      <c r="AT299" s="8">
        <v>-0.73034883699776632</v>
      </c>
    </row>
    <row r="300" spans="1:46" x14ac:dyDescent="0.3">
      <c r="A300" t="str">
        <f t="shared" si="19"/>
        <v>202412 &amp; Segm SDC &gt; Les Eco-responsables</v>
      </c>
      <c r="B300">
        <v>202412</v>
      </c>
      <c r="C300" t="s">
        <v>59</v>
      </c>
      <c r="D300" t="s">
        <v>67</v>
      </c>
      <c r="E300" s="4">
        <v>0</v>
      </c>
      <c r="F300" s="4">
        <v>43754276.390045032</v>
      </c>
      <c r="H300" s="2">
        <v>817924.99999999988</v>
      </c>
      <c r="I300" s="2">
        <v>521979.75</v>
      </c>
      <c r="J300" s="3">
        <v>83.823704636137762</v>
      </c>
      <c r="K300" s="6">
        <v>1.5669669177779404</v>
      </c>
      <c r="L300" s="3">
        <v>53.494240168774688</v>
      </c>
      <c r="M300" s="53">
        <v>0.12912145859134203</v>
      </c>
      <c r="N300" s="53">
        <v>0.12260490569009246</v>
      </c>
      <c r="O300" s="4">
        <v>1299284.3349774778</v>
      </c>
      <c r="P300" s="5">
        <v>2.9695025084978684E-2</v>
      </c>
      <c r="V300" s="4">
        <v>0</v>
      </c>
      <c r="W300" s="4">
        <v>40120704.161666669</v>
      </c>
      <c r="Y300" s="2">
        <v>729314.18918918911</v>
      </c>
      <c r="Z300" s="2">
        <v>463236.75</v>
      </c>
      <c r="AA300" s="3">
        <v>86.609501861988861</v>
      </c>
      <c r="AB300" s="6">
        <v>1.5743875873172608</v>
      </c>
      <c r="AC300" s="3">
        <v>55.011550243209491</v>
      </c>
      <c r="AD300" s="4">
        <v>1484406.4127477473</v>
      </c>
      <c r="AE300" s="5">
        <v>3.6998513454956347E-2</v>
      </c>
      <c r="AL300" s="7">
        <v>9.0566013341562002E-2</v>
      </c>
      <c r="AN300" s="7">
        <v>0.12149881645566674</v>
      </c>
      <c r="AO300" s="7">
        <v>0.12680988716892605</v>
      </c>
      <c r="AP300" s="7">
        <v>-3.2165030002022532E-2</v>
      </c>
      <c r="AQ300" s="7">
        <v>-4.7133689309410975E-3</v>
      </c>
      <c r="AR300" s="7">
        <v>-2.758166362748693E-2</v>
      </c>
      <c r="AS300" s="7">
        <v>-0.12471118164168715</v>
      </c>
      <c r="AT300" s="8">
        <v>-0.73034883699776632</v>
      </c>
    </row>
    <row r="301" spans="1:46" x14ac:dyDescent="0.3">
      <c r="A301" t="str">
        <f t="shared" si="19"/>
        <v>202406 &amp; Segm SDC &gt; Les Eco-responsables</v>
      </c>
      <c r="B301">
        <v>202406</v>
      </c>
      <c r="C301" t="s">
        <v>59</v>
      </c>
      <c r="D301" t="s">
        <v>67</v>
      </c>
      <c r="E301" s="4">
        <v>0</v>
      </c>
      <c r="F301" s="4">
        <v>10900981.760765763</v>
      </c>
      <c r="H301" s="2">
        <v>231362.16216216213</v>
      </c>
      <c r="I301" s="2">
        <v>170574</v>
      </c>
      <c r="J301" s="3">
        <v>63.907639855814857</v>
      </c>
      <c r="K301" s="6">
        <v>1.356374137688992</v>
      </c>
      <c r="L301" s="3">
        <v>47.116527866493776</v>
      </c>
      <c r="M301" s="53">
        <v>3.9231708477710549E-2</v>
      </c>
      <c r="N301" s="53">
        <v>4.2246043937876961E-2</v>
      </c>
      <c r="O301" s="4">
        <v>301180.69220720709</v>
      </c>
      <c r="P301" s="5">
        <v>2.7628767648359958E-2</v>
      </c>
      <c r="V301" s="4">
        <v>0</v>
      </c>
      <c r="W301" s="4">
        <v>8520493.4551801831</v>
      </c>
      <c r="Y301" s="2">
        <v>182147.29729729728</v>
      </c>
      <c r="Z301" s="2">
        <v>132186.75</v>
      </c>
      <c r="AA301" s="3">
        <v>64.457999422636405</v>
      </c>
      <c r="AB301" s="6">
        <v>1.3779542752756784</v>
      </c>
      <c r="AC301" s="3">
        <v>46.778039430764643</v>
      </c>
      <c r="AD301" s="4">
        <v>190900.36934684683</v>
      </c>
      <c r="AE301" s="5">
        <v>2.2404849009159865E-2</v>
      </c>
      <c r="AL301" s="7">
        <v>0.27938385471540039</v>
      </c>
      <c r="AN301" s="7">
        <v>0.27019267150880255</v>
      </c>
      <c r="AO301" s="7">
        <v>0.29040164766892285</v>
      </c>
      <c r="AP301" s="7">
        <v>-8.5382663401165626E-3</v>
      </c>
      <c r="AQ301" s="7">
        <v>-1.5660996866074584E-2</v>
      </c>
      <c r="AR301" s="7">
        <v>7.2360543504634833E-3</v>
      </c>
      <c r="AS301" s="7">
        <v>0.57768522521814503</v>
      </c>
      <c r="AT301" s="8">
        <v>0.52239186392000936</v>
      </c>
    </row>
    <row r="302" spans="1:46" x14ac:dyDescent="0.3">
      <c r="A302" t="str">
        <f t="shared" si="19"/>
        <v>202406 &amp; Segm SDC &gt; Les Eco-responsables</v>
      </c>
      <c r="B302">
        <v>202406</v>
      </c>
      <c r="C302" t="s">
        <v>59</v>
      </c>
      <c r="D302" t="s">
        <v>67</v>
      </c>
      <c r="E302" s="4">
        <v>0</v>
      </c>
      <c r="F302" s="4">
        <v>10900981.760765763</v>
      </c>
      <c r="H302" s="2">
        <v>231362.16216216213</v>
      </c>
      <c r="I302" s="2">
        <v>170574</v>
      </c>
      <c r="J302" s="3">
        <v>63.907639855814857</v>
      </c>
      <c r="K302" s="6">
        <v>1.356374137688992</v>
      </c>
      <c r="L302" s="3">
        <v>47.116527866493776</v>
      </c>
      <c r="M302" s="53">
        <v>3.9231708477710549E-2</v>
      </c>
      <c r="N302" s="53">
        <v>4.2246043937876961E-2</v>
      </c>
      <c r="O302" s="4">
        <v>301180.69220720709</v>
      </c>
      <c r="P302" s="5">
        <v>2.7628767648359958E-2</v>
      </c>
      <c r="V302" s="4">
        <v>0</v>
      </c>
      <c r="W302" s="4">
        <v>8520493.4551801831</v>
      </c>
      <c r="Y302" s="2">
        <v>182147.29729729728</v>
      </c>
      <c r="Z302" s="2">
        <v>132186.75</v>
      </c>
      <c r="AA302" s="3">
        <v>64.457999422636405</v>
      </c>
      <c r="AB302" s="6">
        <v>1.3779542752756784</v>
      </c>
      <c r="AC302" s="3">
        <v>46.778039430764643</v>
      </c>
      <c r="AD302" s="4">
        <v>190900.36934684683</v>
      </c>
      <c r="AE302" s="5">
        <v>2.2404849009159865E-2</v>
      </c>
      <c r="AL302" s="7">
        <v>0.27938385471540039</v>
      </c>
      <c r="AN302" s="7">
        <v>0.27019267150880255</v>
      </c>
      <c r="AO302" s="7">
        <v>0.29040164766892285</v>
      </c>
      <c r="AP302" s="7">
        <v>-8.5382663401165626E-3</v>
      </c>
      <c r="AQ302" s="7">
        <v>-1.5660996866074584E-2</v>
      </c>
      <c r="AR302" s="7">
        <v>7.2360543504634833E-3</v>
      </c>
      <c r="AS302" s="7">
        <v>0.57768522521814503</v>
      </c>
      <c r="AT302" s="8">
        <v>0.52239186392000936</v>
      </c>
    </row>
    <row r="303" spans="1:46" x14ac:dyDescent="0.3">
      <c r="A303" t="str">
        <f t="shared" si="19"/>
        <v>202406 &amp; Segm SDC &gt; Les Eco-responsables</v>
      </c>
      <c r="B303">
        <v>202406</v>
      </c>
      <c r="C303" t="s">
        <v>59</v>
      </c>
      <c r="D303" t="s">
        <v>67</v>
      </c>
      <c r="E303" s="4">
        <v>0</v>
      </c>
      <c r="F303" s="4">
        <v>10900981.760765763</v>
      </c>
      <c r="H303" s="2">
        <v>231362.16216216213</v>
      </c>
      <c r="I303" s="2">
        <v>170574</v>
      </c>
      <c r="J303" s="3">
        <v>63.907639855814857</v>
      </c>
      <c r="K303" s="6">
        <v>1.356374137688992</v>
      </c>
      <c r="L303" s="3">
        <v>47.116527866493776</v>
      </c>
      <c r="M303" s="53">
        <v>3.9231708477710549E-2</v>
      </c>
      <c r="N303" s="53">
        <v>4.2246043937876961E-2</v>
      </c>
      <c r="O303" s="4">
        <v>301180.69220720709</v>
      </c>
      <c r="P303" s="5">
        <v>2.7628767648359958E-2</v>
      </c>
      <c r="V303" s="4">
        <v>0</v>
      </c>
      <c r="W303" s="4">
        <v>8520493.4551801831</v>
      </c>
      <c r="Y303" s="2">
        <v>182147.29729729728</v>
      </c>
      <c r="Z303" s="2">
        <v>132186.75</v>
      </c>
      <c r="AA303" s="3">
        <v>64.457999422636405</v>
      </c>
      <c r="AB303" s="6">
        <v>1.3779542752756784</v>
      </c>
      <c r="AC303" s="3">
        <v>46.778039430764643</v>
      </c>
      <c r="AD303" s="4">
        <v>190900.36934684683</v>
      </c>
      <c r="AE303" s="5">
        <v>2.2404849009159865E-2</v>
      </c>
      <c r="AL303" s="7">
        <v>0.27938385471540039</v>
      </c>
      <c r="AN303" s="7">
        <v>0.27019267150880255</v>
      </c>
      <c r="AO303" s="7">
        <v>0.29040164766892285</v>
      </c>
      <c r="AP303" s="7">
        <v>-8.5382663401165626E-3</v>
      </c>
      <c r="AQ303" s="7">
        <v>-1.5660996866074584E-2</v>
      </c>
      <c r="AR303" s="7">
        <v>7.2360543504634833E-3</v>
      </c>
      <c r="AS303" s="7">
        <v>0.57768522521814503</v>
      </c>
      <c r="AT303" s="8">
        <v>0.52239186392000936</v>
      </c>
    </row>
    <row r="304" spans="1:46" x14ac:dyDescent="0.3">
      <c r="A304" t="str">
        <f t="shared" si="19"/>
        <v>202406 &amp; Segm SDC &gt; Les Eco-responsables</v>
      </c>
      <c r="B304">
        <v>202406</v>
      </c>
      <c r="C304" t="s">
        <v>59</v>
      </c>
      <c r="D304" t="s">
        <v>67</v>
      </c>
      <c r="E304" s="4">
        <v>0</v>
      </c>
      <c r="F304" s="4">
        <v>10900981.760765763</v>
      </c>
      <c r="H304" s="2">
        <v>231362.16216216213</v>
      </c>
      <c r="I304" s="2">
        <v>170574</v>
      </c>
      <c r="J304" s="3">
        <v>63.907639855814857</v>
      </c>
      <c r="K304" s="6">
        <v>1.356374137688992</v>
      </c>
      <c r="L304" s="3">
        <v>47.116527866493776</v>
      </c>
      <c r="M304" s="53">
        <v>3.9231708477710549E-2</v>
      </c>
      <c r="N304" s="53">
        <v>4.2246043937876961E-2</v>
      </c>
      <c r="O304" s="4">
        <v>301180.69220720709</v>
      </c>
      <c r="P304" s="5">
        <v>2.7628767648359958E-2</v>
      </c>
      <c r="V304" s="4">
        <v>0</v>
      </c>
      <c r="W304" s="4">
        <v>8520493.4551801831</v>
      </c>
      <c r="Y304" s="2">
        <v>182147.29729729728</v>
      </c>
      <c r="Z304" s="2">
        <v>132186.75</v>
      </c>
      <c r="AA304" s="3">
        <v>64.457999422636405</v>
      </c>
      <c r="AB304" s="6">
        <v>1.3779542752756784</v>
      </c>
      <c r="AC304" s="3">
        <v>46.778039430764643</v>
      </c>
      <c r="AD304" s="4">
        <v>190900.36934684683</v>
      </c>
      <c r="AE304" s="5">
        <v>2.2404849009159865E-2</v>
      </c>
      <c r="AL304" s="7">
        <v>0.27938385471540039</v>
      </c>
      <c r="AN304" s="7">
        <v>0.27019267150880255</v>
      </c>
      <c r="AO304" s="7">
        <v>0.29040164766892285</v>
      </c>
      <c r="AP304" s="7">
        <v>-8.5382663401165626E-3</v>
      </c>
      <c r="AQ304" s="7">
        <v>-1.5660996866074584E-2</v>
      </c>
      <c r="AR304" s="7">
        <v>7.2360543504634833E-3</v>
      </c>
      <c r="AS304" s="7">
        <v>0.57768522521814503</v>
      </c>
      <c r="AT304" s="8">
        <v>0.52239186392000936</v>
      </c>
    </row>
    <row r="305" spans="1:46" x14ac:dyDescent="0.3">
      <c r="A305" t="str">
        <f t="shared" si="19"/>
        <v>202403 &amp; Segm SDC &gt; Les Eco-responsables</v>
      </c>
      <c r="B305">
        <v>202403</v>
      </c>
      <c r="C305" t="s">
        <v>59</v>
      </c>
      <c r="D305" t="s">
        <v>67</v>
      </c>
      <c r="E305" s="4">
        <v>0</v>
      </c>
      <c r="F305" s="4">
        <v>35194609.841891892</v>
      </c>
      <c r="H305" s="2">
        <v>686529.95495495491</v>
      </c>
      <c r="I305" s="2">
        <v>465094.5</v>
      </c>
      <c r="J305" s="3">
        <v>75.671954499337005</v>
      </c>
      <c r="K305" s="6">
        <v>1.4761085219346926</v>
      </c>
      <c r="L305" s="3">
        <v>51.264492667623088</v>
      </c>
      <c r="M305" s="53">
        <v>0.12218144758083252</v>
      </c>
      <c r="N305" s="53">
        <v>0.11481943683251618</v>
      </c>
      <c r="O305" s="4">
        <v>955052.78074324341</v>
      </c>
      <c r="P305" s="5">
        <v>2.7136336644552055E-2</v>
      </c>
      <c r="V305" s="4">
        <v>0</v>
      </c>
      <c r="W305" s="4">
        <v>32636211.044909913</v>
      </c>
      <c r="Y305" s="2">
        <v>646714.86486486485</v>
      </c>
      <c r="Z305" s="2">
        <v>441675</v>
      </c>
      <c r="AA305" s="3">
        <v>73.891913839157553</v>
      </c>
      <c r="AB305" s="6">
        <v>1.4642324443648946</v>
      </c>
      <c r="AC305" s="3">
        <v>50.46460630177328</v>
      </c>
      <c r="AD305" s="4">
        <v>920540.25869369332</v>
      </c>
      <c r="AE305" s="5">
        <v>2.8206100807074686E-2</v>
      </c>
      <c r="AL305" s="7">
        <v>7.8391416009089721E-2</v>
      </c>
      <c r="AN305" s="7">
        <v>6.1565138290751387E-2</v>
      </c>
      <c r="AO305" s="7">
        <v>5.3024282560706348E-2</v>
      </c>
      <c r="AP305" s="7">
        <v>2.408978963590136E-2</v>
      </c>
      <c r="AQ305" s="7">
        <v>8.1107870649246294E-3</v>
      </c>
      <c r="AR305" s="7">
        <v>1.5850443002895398E-2</v>
      </c>
      <c r="AS305" s="7">
        <v>3.7491594445337562E-2</v>
      </c>
      <c r="AT305" s="8">
        <v>-0.10697641625226316</v>
      </c>
    </row>
    <row r="306" spans="1:46" x14ac:dyDescent="0.3">
      <c r="A306" t="str">
        <f t="shared" si="19"/>
        <v>202403 &amp; Segm SDC &gt; Les Eco-responsables</v>
      </c>
      <c r="B306">
        <v>202403</v>
      </c>
      <c r="C306" t="s">
        <v>59</v>
      </c>
      <c r="D306" t="s">
        <v>67</v>
      </c>
      <c r="E306" s="4">
        <v>0</v>
      </c>
      <c r="F306" s="4">
        <v>35194609.841891892</v>
      </c>
      <c r="H306" s="2">
        <v>686529.95495495491</v>
      </c>
      <c r="I306" s="2">
        <v>465094.5</v>
      </c>
      <c r="J306" s="3">
        <v>75.671954499337005</v>
      </c>
      <c r="K306" s="6">
        <v>1.4761085219346926</v>
      </c>
      <c r="L306" s="3">
        <v>51.264492667623088</v>
      </c>
      <c r="M306" s="53">
        <v>0.12218144758083252</v>
      </c>
      <c r="N306" s="53">
        <v>0.11481943683251618</v>
      </c>
      <c r="O306" s="4">
        <v>955052.78074324341</v>
      </c>
      <c r="P306" s="5">
        <v>2.7136336644552055E-2</v>
      </c>
      <c r="V306" s="4">
        <v>0</v>
      </c>
      <c r="W306" s="4">
        <v>32636211.044909913</v>
      </c>
      <c r="Y306" s="2">
        <v>646714.86486486485</v>
      </c>
      <c r="Z306" s="2">
        <v>441675</v>
      </c>
      <c r="AA306" s="3">
        <v>73.891913839157553</v>
      </c>
      <c r="AB306" s="6">
        <v>1.4642324443648946</v>
      </c>
      <c r="AC306" s="3">
        <v>50.46460630177328</v>
      </c>
      <c r="AD306" s="4">
        <v>920540.25869369332</v>
      </c>
      <c r="AE306" s="5">
        <v>2.8206100807074686E-2</v>
      </c>
      <c r="AL306" s="7">
        <v>7.8391416009089721E-2</v>
      </c>
      <c r="AN306" s="7">
        <v>6.1565138290751387E-2</v>
      </c>
      <c r="AO306" s="7">
        <v>5.3024282560706348E-2</v>
      </c>
      <c r="AP306" s="7">
        <v>2.408978963590136E-2</v>
      </c>
      <c r="AQ306" s="7">
        <v>8.1107870649246294E-3</v>
      </c>
      <c r="AR306" s="7">
        <v>1.5850443002895398E-2</v>
      </c>
      <c r="AS306" s="7">
        <v>3.7491594445337562E-2</v>
      </c>
      <c r="AT306" s="8">
        <v>-0.10697641625226316</v>
      </c>
    </row>
    <row r="307" spans="1:46" x14ac:dyDescent="0.3">
      <c r="A307" t="str">
        <f t="shared" si="19"/>
        <v>202403 &amp; Segm SDC &gt; Les Eco-responsables</v>
      </c>
      <c r="B307">
        <v>202403</v>
      </c>
      <c r="C307" t="s">
        <v>59</v>
      </c>
      <c r="D307" t="s">
        <v>67</v>
      </c>
      <c r="E307" s="4">
        <v>0</v>
      </c>
      <c r="F307" s="4">
        <v>35194609.841891892</v>
      </c>
      <c r="H307" s="2">
        <v>686529.95495495491</v>
      </c>
      <c r="I307" s="2">
        <v>465094.5</v>
      </c>
      <c r="J307" s="3">
        <v>75.671954499337005</v>
      </c>
      <c r="K307" s="6">
        <v>1.4761085219346926</v>
      </c>
      <c r="L307" s="3">
        <v>51.264492667623088</v>
      </c>
      <c r="M307" s="53">
        <v>0.12218144758083252</v>
      </c>
      <c r="N307" s="53">
        <v>0.11481943683251618</v>
      </c>
      <c r="O307" s="4">
        <v>955052.78074324341</v>
      </c>
      <c r="P307" s="5">
        <v>2.7136336644552055E-2</v>
      </c>
      <c r="V307" s="4">
        <v>0</v>
      </c>
      <c r="W307" s="4">
        <v>32636211.044909913</v>
      </c>
      <c r="Y307" s="2">
        <v>646714.86486486485</v>
      </c>
      <c r="Z307" s="2">
        <v>441675</v>
      </c>
      <c r="AA307" s="3">
        <v>73.891913839157553</v>
      </c>
      <c r="AB307" s="6">
        <v>1.4642324443648946</v>
      </c>
      <c r="AC307" s="3">
        <v>50.46460630177328</v>
      </c>
      <c r="AD307" s="4">
        <v>920540.25869369332</v>
      </c>
      <c r="AE307" s="5">
        <v>2.8206100807074686E-2</v>
      </c>
      <c r="AL307" s="7">
        <v>7.8391416009089721E-2</v>
      </c>
      <c r="AN307" s="7">
        <v>6.1565138290751387E-2</v>
      </c>
      <c r="AO307" s="7">
        <v>5.3024282560706348E-2</v>
      </c>
      <c r="AP307" s="7">
        <v>2.408978963590136E-2</v>
      </c>
      <c r="AQ307" s="7">
        <v>8.1107870649246294E-3</v>
      </c>
      <c r="AR307" s="7">
        <v>1.5850443002895398E-2</v>
      </c>
      <c r="AS307" s="7">
        <v>3.7491594445337562E-2</v>
      </c>
      <c r="AT307" s="8">
        <v>-0.10697641625226316</v>
      </c>
    </row>
    <row r="308" spans="1:46" x14ac:dyDescent="0.3">
      <c r="A308" t="str">
        <f t="shared" si="19"/>
        <v>202403 &amp; Segm SDC &gt; Les Eco-responsables</v>
      </c>
      <c r="B308">
        <v>202403</v>
      </c>
      <c r="C308" t="s">
        <v>59</v>
      </c>
      <c r="D308" t="s">
        <v>67</v>
      </c>
      <c r="E308" s="4">
        <v>0</v>
      </c>
      <c r="F308" s="4">
        <v>35194609.841891892</v>
      </c>
      <c r="H308" s="2">
        <v>686529.95495495491</v>
      </c>
      <c r="I308" s="2">
        <v>465094.5</v>
      </c>
      <c r="J308" s="3">
        <v>75.671954499337005</v>
      </c>
      <c r="K308" s="6">
        <v>1.4761085219346926</v>
      </c>
      <c r="L308" s="3">
        <v>51.264492667623088</v>
      </c>
      <c r="M308" s="53">
        <v>0.12218144758083252</v>
      </c>
      <c r="N308" s="53">
        <v>0.11481943683251618</v>
      </c>
      <c r="O308" s="4">
        <v>955052.78074324341</v>
      </c>
      <c r="P308" s="5">
        <v>2.7136336644552055E-2</v>
      </c>
      <c r="V308" s="4">
        <v>0</v>
      </c>
      <c r="W308" s="4">
        <v>32636211.044909913</v>
      </c>
      <c r="Y308" s="2">
        <v>646714.86486486485</v>
      </c>
      <c r="Z308" s="2">
        <v>441675</v>
      </c>
      <c r="AA308" s="3">
        <v>73.891913839157553</v>
      </c>
      <c r="AB308" s="6">
        <v>1.4642324443648946</v>
      </c>
      <c r="AC308" s="3">
        <v>50.46460630177328</v>
      </c>
      <c r="AD308" s="4">
        <v>920540.25869369332</v>
      </c>
      <c r="AE308" s="5">
        <v>2.8206100807074686E-2</v>
      </c>
      <c r="AL308" s="7">
        <v>7.8391416009089721E-2</v>
      </c>
      <c r="AN308" s="7">
        <v>6.1565138290751387E-2</v>
      </c>
      <c r="AO308" s="7">
        <v>5.3024282560706348E-2</v>
      </c>
      <c r="AP308" s="7">
        <v>2.408978963590136E-2</v>
      </c>
      <c r="AQ308" s="7">
        <v>8.1107870649246294E-3</v>
      </c>
      <c r="AR308" s="7">
        <v>1.5850443002895398E-2</v>
      </c>
      <c r="AS308" s="7">
        <v>3.7491594445337562E-2</v>
      </c>
      <c r="AT308" s="8">
        <v>-0.10697641625226316</v>
      </c>
    </row>
    <row r="309" spans="1:46" x14ac:dyDescent="0.3">
      <c r="A309" t="str">
        <f t="shared" si="19"/>
        <v>202404 &amp; Segm SDC &gt; Les Eco-responsables</v>
      </c>
      <c r="B309">
        <v>202404</v>
      </c>
      <c r="C309" t="s">
        <v>59</v>
      </c>
      <c r="D309" t="s">
        <v>67</v>
      </c>
      <c r="E309" s="4">
        <v>0</v>
      </c>
      <c r="F309" s="4">
        <v>33523166.01909909</v>
      </c>
      <c r="H309" s="2">
        <v>663593.4684684684</v>
      </c>
      <c r="I309" s="2">
        <v>468105</v>
      </c>
      <c r="J309" s="3">
        <v>71.614629237241843</v>
      </c>
      <c r="K309" s="6">
        <v>1.4176167066544225</v>
      </c>
      <c r="L309" s="3">
        <v>50.517625040024022</v>
      </c>
      <c r="M309" s="53">
        <v>0.12326414871305896</v>
      </c>
      <c r="N309" s="53">
        <v>0.11608449278642771</v>
      </c>
      <c r="O309" s="4">
        <v>976123.49851351359</v>
      </c>
      <c r="P309" s="5">
        <v>2.9117879199040703E-2</v>
      </c>
      <c r="V309" s="4">
        <v>0</v>
      </c>
      <c r="W309" s="4">
        <v>33139238.278063077</v>
      </c>
      <c r="Y309" s="2">
        <v>630981.30630630627</v>
      </c>
      <c r="Z309" s="2">
        <v>449554.5</v>
      </c>
      <c r="AA309" s="3">
        <v>73.715730302028064</v>
      </c>
      <c r="AB309" s="6">
        <v>1.4035702151937224</v>
      </c>
      <c r="AC309" s="3">
        <v>52.520158595595262</v>
      </c>
      <c r="AD309" s="4">
        <v>743769.81150900922</v>
      </c>
      <c r="AE309" s="5">
        <v>2.2443781153574573E-2</v>
      </c>
      <c r="AL309" s="7">
        <v>1.1585291665866526E-2</v>
      </c>
      <c r="AN309" s="7">
        <v>5.1684830970778028E-2</v>
      </c>
      <c r="AO309" s="7">
        <v>4.1264184876360854E-2</v>
      </c>
      <c r="AP309" s="7">
        <v>-2.8502750446581571E-2</v>
      </c>
      <c r="AQ309" s="7">
        <v>1.000768704596755E-2</v>
      </c>
      <c r="AR309" s="7">
        <v>-3.8128855835922515E-2</v>
      </c>
      <c r="AS309" s="7">
        <v>0.31239999716187716</v>
      </c>
      <c r="AT309" s="8">
        <v>0.66740980454661303</v>
      </c>
    </row>
    <row r="310" spans="1:46" x14ac:dyDescent="0.3">
      <c r="A310" t="str">
        <f t="shared" si="19"/>
        <v>202404 &amp; Segm SDC &gt; Les Eco-responsables</v>
      </c>
      <c r="B310">
        <v>202404</v>
      </c>
      <c r="C310" t="s">
        <v>59</v>
      </c>
      <c r="D310" t="s">
        <v>67</v>
      </c>
      <c r="E310" s="4">
        <v>0</v>
      </c>
      <c r="F310" s="4">
        <v>33523166.01909909</v>
      </c>
      <c r="H310" s="2">
        <v>663593.4684684684</v>
      </c>
      <c r="I310" s="2">
        <v>468105</v>
      </c>
      <c r="J310" s="3">
        <v>71.614629237241843</v>
      </c>
      <c r="K310" s="6">
        <v>1.4176167066544225</v>
      </c>
      <c r="L310" s="3">
        <v>50.517625040024022</v>
      </c>
      <c r="M310" s="53">
        <v>0.12326414871305896</v>
      </c>
      <c r="N310" s="53">
        <v>0.11608449278642771</v>
      </c>
      <c r="O310" s="4">
        <v>976123.49851351359</v>
      </c>
      <c r="P310" s="5">
        <v>2.9117879199040703E-2</v>
      </c>
      <c r="V310" s="4">
        <v>0</v>
      </c>
      <c r="W310" s="4">
        <v>33139238.278063077</v>
      </c>
      <c r="Y310" s="2">
        <v>630981.30630630627</v>
      </c>
      <c r="Z310" s="2">
        <v>449554.5</v>
      </c>
      <c r="AA310" s="3">
        <v>73.715730302028064</v>
      </c>
      <c r="AB310" s="6">
        <v>1.4035702151937224</v>
      </c>
      <c r="AC310" s="3">
        <v>52.520158595595262</v>
      </c>
      <c r="AD310" s="4">
        <v>743769.81150900922</v>
      </c>
      <c r="AE310" s="5">
        <v>2.2443781153574573E-2</v>
      </c>
      <c r="AL310" s="7">
        <v>1.1585291665866526E-2</v>
      </c>
      <c r="AN310" s="7">
        <v>5.1684830970778028E-2</v>
      </c>
      <c r="AO310" s="7">
        <v>4.1264184876360854E-2</v>
      </c>
      <c r="AP310" s="7">
        <v>-2.8502750446581571E-2</v>
      </c>
      <c r="AQ310" s="7">
        <v>1.000768704596755E-2</v>
      </c>
      <c r="AR310" s="7">
        <v>-3.8128855835922515E-2</v>
      </c>
      <c r="AS310" s="7">
        <v>0.31239999716187716</v>
      </c>
      <c r="AT310" s="8">
        <v>0.66740980454661303</v>
      </c>
    </row>
    <row r="311" spans="1:46" x14ac:dyDescent="0.3">
      <c r="A311" t="str">
        <f t="shared" si="19"/>
        <v>202404 &amp; Segm SDC &gt; Les Eco-responsables</v>
      </c>
      <c r="B311">
        <v>202404</v>
      </c>
      <c r="C311" t="s">
        <v>59</v>
      </c>
      <c r="D311" t="s">
        <v>67</v>
      </c>
      <c r="E311" s="4">
        <v>0</v>
      </c>
      <c r="F311" s="4">
        <v>33523166.01909909</v>
      </c>
      <c r="H311" s="2">
        <v>663593.4684684684</v>
      </c>
      <c r="I311" s="2">
        <v>468105</v>
      </c>
      <c r="J311" s="3">
        <v>71.614629237241843</v>
      </c>
      <c r="K311" s="6">
        <v>1.4176167066544225</v>
      </c>
      <c r="L311" s="3">
        <v>50.517625040024022</v>
      </c>
      <c r="M311" s="53">
        <v>0.12326414871305896</v>
      </c>
      <c r="N311" s="53">
        <v>0.11608449278642771</v>
      </c>
      <c r="O311" s="4">
        <v>976123.49851351359</v>
      </c>
      <c r="P311" s="5">
        <v>2.9117879199040703E-2</v>
      </c>
      <c r="V311" s="4">
        <v>0</v>
      </c>
      <c r="W311" s="4">
        <v>33139238.278063077</v>
      </c>
      <c r="Y311" s="2">
        <v>630981.30630630627</v>
      </c>
      <c r="Z311" s="2">
        <v>449554.5</v>
      </c>
      <c r="AA311" s="3">
        <v>73.715730302028064</v>
      </c>
      <c r="AB311" s="6">
        <v>1.4035702151937224</v>
      </c>
      <c r="AC311" s="3">
        <v>52.520158595595262</v>
      </c>
      <c r="AD311" s="4">
        <v>743769.81150900922</v>
      </c>
      <c r="AE311" s="5">
        <v>2.2443781153574573E-2</v>
      </c>
      <c r="AL311" s="7">
        <v>1.1585291665866526E-2</v>
      </c>
      <c r="AN311" s="7">
        <v>5.1684830970778028E-2</v>
      </c>
      <c r="AO311" s="7">
        <v>4.1264184876360854E-2</v>
      </c>
      <c r="AP311" s="7">
        <v>-2.8502750446581571E-2</v>
      </c>
      <c r="AQ311" s="7">
        <v>1.000768704596755E-2</v>
      </c>
      <c r="AR311" s="7">
        <v>-3.8128855835922515E-2</v>
      </c>
      <c r="AS311" s="7">
        <v>0.31239999716187716</v>
      </c>
      <c r="AT311" s="8">
        <v>0.66740980454661303</v>
      </c>
    </row>
    <row r="312" spans="1:46" x14ac:dyDescent="0.3">
      <c r="A312" t="str">
        <f t="shared" si="19"/>
        <v>202404 &amp; Segm SDC &gt; Les Eco-responsables</v>
      </c>
      <c r="B312">
        <v>202404</v>
      </c>
      <c r="C312" t="s">
        <v>59</v>
      </c>
      <c r="D312" t="s">
        <v>67</v>
      </c>
      <c r="E312" s="4">
        <v>0</v>
      </c>
      <c r="F312" s="4">
        <v>33523166.01909909</v>
      </c>
      <c r="H312" s="2">
        <v>663593.4684684684</v>
      </c>
      <c r="I312" s="2">
        <v>468105</v>
      </c>
      <c r="J312" s="3">
        <v>71.614629237241843</v>
      </c>
      <c r="K312" s="6">
        <v>1.4176167066544225</v>
      </c>
      <c r="L312" s="3">
        <v>50.517625040024022</v>
      </c>
      <c r="M312" s="53">
        <v>0.12326414871305896</v>
      </c>
      <c r="N312" s="53">
        <v>0.11608449278642771</v>
      </c>
      <c r="O312" s="4">
        <v>976123.49851351359</v>
      </c>
      <c r="P312" s="5">
        <v>2.9117879199040703E-2</v>
      </c>
      <c r="V312" s="4">
        <v>0</v>
      </c>
      <c r="W312" s="4">
        <v>33139238.278063077</v>
      </c>
      <c r="Y312" s="2">
        <v>630981.30630630627</v>
      </c>
      <c r="Z312" s="2">
        <v>449554.5</v>
      </c>
      <c r="AA312" s="3">
        <v>73.715730302028064</v>
      </c>
      <c r="AB312" s="6">
        <v>1.4035702151937224</v>
      </c>
      <c r="AC312" s="3">
        <v>52.520158595595262</v>
      </c>
      <c r="AD312" s="4">
        <v>743769.81150900922</v>
      </c>
      <c r="AE312" s="5">
        <v>2.2443781153574573E-2</v>
      </c>
      <c r="AL312" s="7">
        <v>1.1585291665866526E-2</v>
      </c>
      <c r="AN312" s="7">
        <v>5.1684830970778028E-2</v>
      </c>
      <c r="AO312" s="7">
        <v>4.1264184876360854E-2</v>
      </c>
      <c r="AP312" s="7">
        <v>-2.8502750446581571E-2</v>
      </c>
      <c r="AQ312" s="7">
        <v>1.000768704596755E-2</v>
      </c>
      <c r="AR312" s="7">
        <v>-3.8128855835922515E-2</v>
      </c>
      <c r="AS312" s="7">
        <v>0.31239999716187716</v>
      </c>
      <c r="AT312" s="8">
        <v>0.66740980454661303</v>
      </c>
    </row>
    <row r="313" spans="1:46" x14ac:dyDescent="0.3">
      <c r="A313" t="str">
        <f t="shared" si="19"/>
        <v>202402 &amp; Segm SDC &gt; Les Eco-responsables</v>
      </c>
      <c r="B313">
        <v>202402</v>
      </c>
      <c r="C313" t="s">
        <v>59</v>
      </c>
      <c r="D313" t="s">
        <v>67</v>
      </c>
      <c r="E313" s="4">
        <v>0</v>
      </c>
      <c r="F313" s="4">
        <v>10271488.163153149</v>
      </c>
      <c r="H313" s="2">
        <v>225420.04504504503</v>
      </c>
      <c r="I313" s="2">
        <v>170750.25</v>
      </c>
      <c r="J313" s="3">
        <v>60.15504025998878</v>
      </c>
      <c r="K313" s="6">
        <v>1.320174026363329</v>
      </c>
      <c r="L313" s="3">
        <v>45.565992860575591</v>
      </c>
      <c r="M313" s="53">
        <v>3.9731652146484775E-2</v>
      </c>
      <c r="N313" s="53">
        <v>4.3126256255586908E-2</v>
      </c>
      <c r="O313" s="4">
        <v>262791.04524774756</v>
      </c>
      <c r="P313" s="5">
        <v>2.5584515220536043E-2</v>
      </c>
      <c r="V313" s="4">
        <v>0</v>
      </c>
      <c r="W313" s="4">
        <v>28319186.982702713</v>
      </c>
      <c r="Y313" s="2">
        <v>569777.02702702698</v>
      </c>
      <c r="Z313" s="2">
        <v>431863.5</v>
      </c>
      <c r="AA313" s="3">
        <v>65.574393257829641</v>
      </c>
      <c r="AB313" s="6">
        <v>1.3193451797316211</v>
      </c>
      <c r="AC313" s="3">
        <v>49.702226729754429</v>
      </c>
      <c r="AD313" s="4">
        <v>776568.86603603617</v>
      </c>
      <c r="AE313" s="5">
        <v>2.7422004258468382E-2</v>
      </c>
      <c r="AL313" s="7">
        <v>-0.63729579632964217</v>
      </c>
      <c r="AN313" s="7">
        <v>-0.60437147453761342</v>
      </c>
      <c r="AO313" s="7">
        <v>-0.60461986252600641</v>
      </c>
      <c r="AP313" s="7">
        <v>-8.2644348328663852E-2</v>
      </c>
      <c r="AQ313" s="7">
        <v>6.2822576262910879E-4</v>
      </c>
      <c r="AR313" s="7">
        <v>-8.3220292959282349E-2</v>
      </c>
      <c r="AS313" s="7">
        <v>-0.66159981845634164</v>
      </c>
      <c r="AT313" s="8">
        <v>-0.18374890379323389</v>
      </c>
    </row>
    <row r="314" spans="1:46" x14ac:dyDescent="0.3">
      <c r="A314" t="str">
        <f t="shared" si="19"/>
        <v>202402 &amp; Segm SDC &gt; Les Eco-responsables</v>
      </c>
      <c r="B314">
        <v>202402</v>
      </c>
      <c r="C314" t="s">
        <v>59</v>
      </c>
      <c r="D314" t="s">
        <v>67</v>
      </c>
      <c r="E314" s="4">
        <v>0</v>
      </c>
      <c r="F314" s="4">
        <v>10271488.163153149</v>
      </c>
      <c r="H314" s="2">
        <v>225420.04504504503</v>
      </c>
      <c r="I314" s="2">
        <v>170750.25</v>
      </c>
      <c r="J314" s="3">
        <v>60.15504025998878</v>
      </c>
      <c r="K314" s="6">
        <v>1.320174026363329</v>
      </c>
      <c r="L314" s="3">
        <v>45.565992860575591</v>
      </c>
      <c r="M314" s="53">
        <v>3.9731652146484775E-2</v>
      </c>
      <c r="N314" s="53">
        <v>4.3126256255586908E-2</v>
      </c>
      <c r="O314" s="4">
        <v>262791.04524774756</v>
      </c>
      <c r="P314" s="5">
        <v>2.5584515220536043E-2</v>
      </c>
      <c r="V314" s="4">
        <v>0</v>
      </c>
      <c r="W314" s="4">
        <v>28319186.982702713</v>
      </c>
      <c r="Y314" s="2">
        <v>569777.02702702698</v>
      </c>
      <c r="Z314" s="2">
        <v>431863.5</v>
      </c>
      <c r="AA314" s="3">
        <v>65.574393257829641</v>
      </c>
      <c r="AB314" s="6">
        <v>1.3193451797316211</v>
      </c>
      <c r="AC314" s="3">
        <v>49.702226729754429</v>
      </c>
      <c r="AD314" s="4">
        <v>776568.86603603617</v>
      </c>
      <c r="AE314" s="5">
        <v>2.7422004258468382E-2</v>
      </c>
      <c r="AL314" s="7">
        <v>-0.63729579632964217</v>
      </c>
      <c r="AN314" s="7">
        <v>-0.60437147453761342</v>
      </c>
      <c r="AO314" s="7">
        <v>-0.60461986252600641</v>
      </c>
      <c r="AP314" s="7">
        <v>-8.2644348328663852E-2</v>
      </c>
      <c r="AQ314" s="7">
        <v>6.2822576262910879E-4</v>
      </c>
      <c r="AR314" s="7">
        <v>-8.3220292959282349E-2</v>
      </c>
      <c r="AS314" s="7">
        <v>-0.66159981845634164</v>
      </c>
      <c r="AT314" s="8">
        <v>-0.18374890379323389</v>
      </c>
    </row>
    <row r="315" spans="1:46" x14ac:dyDescent="0.3">
      <c r="A315" t="str">
        <f t="shared" si="19"/>
        <v>202402 &amp; Segm SDC &gt; Les Eco-responsables</v>
      </c>
      <c r="B315">
        <v>202402</v>
      </c>
      <c r="C315" t="s">
        <v>59</v>
      </c>
      <c r="D315" t="s">
        <v>67</v>
      </c>
      <c r="E315" s="4">
        <v>0</v>
      </c>
      <c r="F315" s="4">
        <v>10271488.163153149</v>
      </c>
      <c r="H315" s="2">
        <v>225420.04504504503</v>
      </c>
      <c r="I315" s="2">
        <v>170750.25</v>
      </c>
      <c r="J315" s="3">
        <v>60.15504025998878</v>
      </c>
      <c r="K315" s="6">
        <v>1.320174026363329</v>
      </c>
      <c r="L315" s="3">
        <v>45.565992860575591</v>
      </c>
      <c r="M315" s="53">
        <v>3.9731652146484775E-2</v>
      </c>
      <c r="N315" s="53">
        <v>4.3126256255586908E-2</v>
      </c>
      <c r="O315" s="4">
        <v>262791.04524774756</v>
      </c>
      <c r="P315" s="5">
        <v>2.5584515220536043E-2</v>
      </c>
      <c r="V315" s="4">
        <v>0</v>
      </c>
      <c r="W315" s="4">
        <v>28319186.982702713</v>
      </c>
      <c r="Y315" s="2">
        <v>569777.02702702698</v>
      </c>
      <c r="Z315" s="2">
        <v>431863.5</v>
      </c>
      <c r="AA315" s="3">
        <v>65.574393257829641</v>
      </c>
      <c r="AB315" s="6">
        <v>1.3193451797316211</v>
      </c>
      <c r="AC315" s="3">
        <v>49.702226729754429</v>
      </c>
      <c r="AD315" s="4">
        <v>776568.86603603617</v>
      </c>
      <c r="AE315" s="5">
        <v>2.7422004258468382E-2</v>
      </c>
      <c r="AL315" s="7">
        <v>-0.63729579632964217</v>
      </c>
      <c r="AN315" s="7">
        <v>-0.60437147453761342</v>
      </c>
      <c r="AO315" s="7">
        <v>-0.60461986252600641</v>
      </c>
      <c r="AP315" s="7">
        <v>-8.2644348328663852E-2</v>
      </c>
      <c r="AQ315" s="7">
        <v>6.2822576262910879E-4</v>
      </c>
      <c r="AR315" s="7">
        <v>-8.3220292959282349E-2</v>
      </c>
      <c r="AS315" s="7">
        <v>-0.66159981845634164</v>
      </c>
      <c r="AT315" s="8">
        <v>-0.18374890379323389</v>
      </c>
    </row>
    <row r="316" spans="1:46" x14ac:dyDescent="0.3">
      <c r="A316" t="str">
        <f t="shared" si="19"/>
        <v>202402 &amp; Segm SDC &gt; Les Eco-responsables</v>
      </c>
      <c r="B316">
        <v>202402</v>
      </c>
      <c r="C316" t="s">
        <v>59</v>
      </c>
      <c r="D316" t="s">
        <v>67</v>
      </c>
      <c r="E316" s="4">
        <v>0</v>
      </c>
      <c r="F316" s="4">
        <v>10271488.163153149</v>
      </c>
      <c r="H316" s="2">
        <v>225420.04504504503</v>
      </c>
      <c r="I316" s="2">
        <v>170750.25</v>
      </c>
      <c r="J316" s="3">
        <v>60.15504025998878</v>
      </c>
      <c r="K316" s="6">
        <v>1.320174026363329</v>
      </c>
      <c r="L316" s="3">
        <v>45.565992860575591</v>
      </c>
      <c r="M316" s="53">
        <v>3.9731652146484775E-2</v>
      </c>
      <c r="N316" s="53">
        <v>4.3126256255586908E-2</v>
      </c>
      <c r="O316" s="4">
        <v>262791.04524774756</v>
      </c>
      <c r="P316" s="5">
        <v>2.5584515220536043E-2</v>
      </c>
      <c r="V316" s="4">
        <v>0</v>
      </c>
      <c r="W316" s="4">
        <v>28319186.982702713</v>
      </c>
      <c r="Y316" s="2">
        <v>569777.02702702698</v>
      </c>
      <c r="Z316" s="2">
        <v>431863.5</v>
      </c>
      <c r="AA316" s="3">
        <v>65.574393257829641</v>
      </c>
      <c r="AB316" s="6">
        <v>1.3193451797316211</v>
      </c>
      <c r="AC316" s="3">
        <v>49.702226729754429</v>
      </c>
      <c r="AD316" s="4">
        <v>776568.86603603617</v>
      </c>
      <c r="AE316" s="5">
        <v>2.7422004258468382E-2</v>
      </c>
      <c r="AL316" s="7">
        <v>-0.63729579632964217</v>
      </c>
      <c r="AN316" s="7">
        <v>-0.60437147453761342</v>
      </c>
      <c r="AO316" s="7">
        <v>-0.60461986252600641</v>
      </c>
      <c r="AP316" s="7">
        <v>-8.2644348328663852E-2</v>
      </c>
      <c r="AQ316" s="7">
        <v>6.2822576262910879E-4</v>
      </c>
      <c r="AR316" s="7">
        <v>-8.3220292959282349E-2</v>
      </c>
      <c r="AS316" s="7">
        <v>-0.66159981845634164</v>
      </c>
      <c r="AT316" s="8">
        <v>-0.18374890379323389</v>
      </c>
    </row>
    <row r="317" spans="1:46" x14ac:dyDescent="0.3">
      <c r="A317" t="str">
        <f t="shared" si="19"/>
        <v>202407 &amp; Segm SDC &gt; Les Eco-responsables</v>
      </c>
      <c r="B317">
        <v>202407</v>
      </c>
      <c r="C317" t="s">
        <v>59</v>
      </c>
      <c r="D317" t="s">
        <v>67</v>
      </c>
      <c r="E317" s="4">
        <v>0</v>
      </c>
      <c r="F317" s="4">
        <v>34458302.59400899</v>
      </c>
      <c r="H317" s="2">
        <v>678515.99099099089</v>
      </c>
      <c r="I317" s="2">
        <v>457383</v>
      </c>
      <c r="J317" s="3">
        <v>75.337960951782179</v>
      </c>
      <c r="K317" s="6">
        <v>1.4834744426246513</v>
      </c>
      <c r="L317" s="3">
        <v>50.784805445309708</v>
      </c>
      <c r="M317" s="53">
        <v>0.1199787641955708</v>
      </c>
      <c r="N317" s="53">
        <v>0.11237931566340013</v>
      </c>
      <c r="O317" s="4">
        <v>487330.79615991015</v>
      </c>
      <c r="P317" s="5">
        <v>1.4142623387509481E-2</v>
      </c>
      <c r="V317" s="4">
        <v>0</v>
      </c>
      <c r="W317" s="4">
        <v>33510154.176486466</v>
      </c>
      <c r="Y317" s="2">
        <v>649748.87387387385</v>
      </c>
      <c r="Z317" s="2">
        <v>451671</v>
      </c>
      <c r="AA317" s="3">
        <v>74.191511468494696</v>
      </c>
      <c r="AB317" s="6">
        <v>1.4385445908058605</v>
      </c>
      <c r="AC317" s="3">
        <v>51.574008857753398</v>
      </c>
      <c r="AD317" s="4">
        <v>487669.03245202708</v>
      </c>
      <c r="AE317" s="5">
        <v>1.455287343303889E-2</v>
      </c>
      <c r="AL317" s="7">
        <v>2.8294361539757507E-2</v>
      </c>
      <c r="AN317" s="7">
        <v>4.4274208503978452E-2</v>
      </c>
      <c r="AO317" s="7">
        <v>1.2646373134427513E-2</v>
      </c>
      <c r="AP317" s="7">
        <v>1.5452569446227304E-2</v>
      </c>
      <c r="AQ317" s="7">
        <v>3.1232853055755072E-2</v>
      </c>
      <c r="AR317" s="7">
        <v>-1.5302347634452818E-2</v>
      </c>
      <c r="AS317" s="7">
        <v>-6.9357754872445554E-4</v>
      </c>
      <c r="AT317" s="8">
        <v>-4.1025004552940926E-2</v>
      </c>
    </row>
    <row r="318" spans="1:46" x14ac:dyDescent="0.3">
      <c r="A318" t="str">
        <f t="shared" si="19"/>
        <v>202407 &amp; Segm SDC &gt; Les Eco-responsables</v>
      </c>
      <c r="B318">
        <v>202407</v>
      </c>
      <c r="C318" t="s">
        <v>59</v>
      </c>
      <c r="D318" t="s">
        <v>67</v>
      </c>
      <c r="E318" s="4">
        <v>0</v>
      </c>
      <c r="F318" s="4">
        <v>34458302.59400899</v>
      </c>
      <c r="H318" s="2">
        <v>678515.99099099089</v>
      </c>
      <c r="I318" s="2">
        <v>457383</v>
      </c>
      <c r="J318" s="3">
        <v>75.337960951782179</v>
      </c>
      <c r="K318" s="6">
        <v>1.4834744426246513</v>
      </c>
      <c r="L318" s="3">
        <v>50.784805445309708</v>
      </c>
      <c r="M318" s="53">
        <v>0.1199787641955708</v>
      </c>
      <c r="N318" s="53">
        <v>0.11237931566340013</v>
      </c>
      <c r="O318" s="4">
        <v>487330.79615991015</v>
      </c>
      <c r="P318" s="5">
        <v>1.4142623387509481E-2</v>
      </c>
      <c r="V318" s="4">
        <v>0</v>
      </c>
      <c r="W318" s="4">
        <v>33510154.176486466</v>
      </c>
      <c r="Y318" s="2">
        <v>649748.87387387385</v>
      </c>
      <c r="Z318" s="2">
        <v>451671</v>
      </c>
      <c r="AA318" s="3">
        <v>74.191511468494696</v>
      </c>
      <c r="AB318" s="6">
        <v>1.4385445908058605</v>
      </c>
      <c r="AC318" s="3">
        <v>51.574008857753398</v>
      </c>
      <c r="AD318" s="4">
        <v>487669.03245202708</v>
      </c>
      <c r="AE318" s="5">
        <v>1.455287343303889E-2</v>
      </c>
      <c r="AL318" s="7">
        <v>2.8294361539757507E-2</v>
      </c>
      <c r="AN318" s="7">
        <v>4.4274208503978452E-2</v>
      </c>
      <c r="AO318" s="7">
        <v>1.2646373134427513E-2</v>
      </c>
      <c r="AP318" s="7">
        <v>1.5452569446227304E-2</v>
      </c>
      <c r="AQ318" s="7">
        <v>3.1232853055755072E-2</v>
      </c>
      <c r="AR318" s="7">
        <v>-1.5302347634452818E-2</v>
      </c>
      <c r="AS318" s="7">
        <v>-6.9357754872445554E-4</v>
      </c>
      <c r="AT318" s="8">
        <v>-4.1025004552940926E-2</v>
      </c>
    </row>
    <row r="319" spans="1:46" x14ac:dyDescent="0.3">
      <c r="A319" t="str">
        <f t="shared" si="19"/>
        <v>202407 &amp; Segm SDC &gt; Les Eco-responsables</v>
      </c>
      <c r="B319">
        <v>202407</v>
      </c>
      <c r="C319" t="s">
        <v>59</v>
      </c>
      <c r="D319" t="s">
        <v>67</v>
      </c>
      <c r="E319" s="4">
        <v>0</v>
      </c>
      <c r="F319" s="4">
        <v>34458302.59400899</v>
      </c>
      <c r="H319" s="2">
        <v>678515.99099099089</v>
      </c>
      <c r="I319" s="2">
        <v>457383</v>
      </c>
      <c r="J319" s="3">
        <v>75.337960951782179</v>
      </c>
      <c r="K319" s="6">
        <v>1.4834744426246513</v>
      </c>
      <c r="L319" s="3">
        <v>50.784805445309708</v>
      </c>
      <c r="M319" s="53">
        <v>0.1199787641955708</v>
      </c>
      <c r="N319" s="53">
        <v>0.11237931566340013</v>
      </c>
      <c r="O319" s="4">
        <v>487330.79615991015</v>
      </c>
      <c r="P319" s="5">
        <v>1.4142623387509481E-2</v>
      </c>
      <c r="V319" s="4">
        <v>0</v>
      </c>
      <c r="W319" s="4">
        <v>33510154.176486466</v>
      </c>
      <c r="Y319" s="2">
        <v>649748.87387387385</v>
      </c>
      <c r="Z319" s="2">
        <v>451671</v>
      </c>
      <c r="AA319" s="3">
        <v>74.191511468494696</v>
      </c>
      <c r="AB319" s="6">
        <v>1.4385445908058605</v>
      </c>
      <c r="AC319" s="3">
        <v>51.574008857753398</v>
      </c>
      <c r="AD319" s="4">
        <v>487669.03245202708</v>
      </c>
      <c r="AE319" s="5">
        <v>1.455287343303889E-2</v>
      </c>
      <c r="AL319" s="7">
        <v>2.8294361539757507E-2</v>
      </c>
      <c r="AN319" s="7">
        <v>4.4274208503978452E-2</v>
      </c>
      <c r="AO319" s="7">
        <v>1.2646373134427513E-2</v>
      </c>
      <c r="AP319" s="7">
        <v>1.5452569446227304E-2</v>
      </c>
      <c r="AQ319" s="7">
        <v>3.1232853055755072E-2</v>
      </c>
      <c r="AR319" s="7">
        <v>-1.5302347634452818E-2</v>
      </c>
      <c r="AS319" s="7">
        <v>-6.9357754872445554E-4</v>
      </c>
      <c r="AT319" s="8">
        <v>-4.1025004552940926E-2</v>
      </c>
    </row>
    <row r="320" spans="1:46" x14ac:dyDescent="0.3">
      <c r="A320" t="str">
        <f t="shared" si="19"/>
        <v>202407 &amp; Segm SDC &gt; Les Eco-responsables</v>
      </c>
      <c r="B320">
        <v>202407</v>
      </c>
      <c r="C320" t="s">
        <v>59</v>
      </c>
      <c r="D320" t="s">
        <v>67</v>
      </c>
      <c r="E320" s="4">
        <v>0</v>
      </c>
      <c r="F320" s="4">
        <v>34458302.59400899</v>
      </c>
      <c r="H320" s="2">
        <v>678515.99099099089</v>
      </c>
      <c r="I320" s="2">
        <v>457383</v>
      </c>
      <c r="J320" s="3">
        <v>75.337960951782179</v>
      </c>
      <c r="K320" s="6">
        <v>1.4834744426246513</v>
      </c>
      <c r="L320" s="3">
        <v>50.784805445309708</v>
      </c>
      <c r="M320" s="53">
        <v>0.1199787641955708</v>
      </c>
      <c r="N320" s="53">
        <v>0.11237931566340013</v>
      </c>
      <c r="O320" s="4">
        <v>487330.79615991015</v>
      </c>
      <c r="P320" s="5">
        <v>1.4142623387509481E-2</v>
      </c>
      <c r="V320" s="4">
        <v>0</v>
      </c>
      <c r="W320" s="4">
        <v>33510154.176486466</v>
      </c>
      <c r="Y320" s="2">
        <v>649748.87387387385</v>
      </c>
      <c r="Z320" s="2">
        <v>451671</v>
      </c>
      <c r="AA320" s="3">
        <v>74.191511468494696</v>
      </c>
      <c r="AB320" s="6">
        <v>1.4385445908058605</v>
      </c>
      <c r="AC320" s="3">
        <v>51.574008857753398</v>
      </c>
      <c r="AD320" s="4">
        <v>487669.03245202708</v>
      </c>
      <c r="AE320" s="5">
        <v>1.455287343303889E-2</v>
      </c>
      <c r="AL320" s="7">
        <v>2.8294361539757507E-2</v>
      </c>
      <c r="AN320" s="7">
        <v>4.4274208503978452E-2</v>
      </c>
      <c r="AO320" s="7">
        <v>1.2646373134427513E-2</v>
      </c>
      <c r="AP320" s="7">
        <v>1.5452569446227304E-2</v>
      </c>
      <c r="AQ320" s="7">
        <v>3.1232853055755072E-2</v>
      </c>
      <c r="AR320" s="7">
        <v>-1.5302347634452818E-2</v>
      </c>
      <c r="AS320" s="7">
        <v>-6.9357754872445554E-4</v>
      </c>
      <c r="AT320" s="8">
        <v>-4.1025004552940926E-2</v>
      </c>
    </row>
    <row r="321" spans="1:46" x14ac:dyDescent="0.3">
      <c r="A321" t="str">
        <f t="shared" si="19"/>
        <v>202404 &amp; Segm SDC &gt; Les Eco-responsables</v>
      </c>
      <c r="B321">
        <v>202404</v>
      </c>
      <c r="C321" t="s">
        <v>59</v>
      </c>
      <c r="D321" t="s">
        <v>67</v>
      </c>
      <c r="E321" s="4">
        <v>0</v>
      </c>
      <c r="F321" s="4">
        <v>10884323.624684684</v>
      </c>
      <c r="H321" s="2">
        <v>235928.82882882882</v>
      </c>
      <c r="I321" s="2">
        <v>175117.5</v>
      </c>
      <c r="J321" s="3">
        <v>62.154402756347501</v>
      </c>
      <c r="K321" s="6">
        <v>1.3472601472087531</v>
      </c>
      <c r="L321" s="3">
        <v>46.133928094821691</v>
      </c>
      <c r="M321" s="53">
        <v>4.0021484997861477E-2</v>
      </c>
      <c r="N321" s="53">
        <v>4.3427064794281739E-2</v>
      </c>
      <c r="O321" s="4">
        <v>294027.06617117109</v>
      </c>
      <c r="P321" s="5">
        <v>2.7013811451208937E-2</v>
      </c>
      <c r="V321" s="4">
        <v>0</v>
      </c>
      <c r="W321" s="4">
        <v>8450090.2815315276</v>
      </c>
      <c r="Y321" s="2">
        <v>178449.32432432432</v>
      </c>
      <c r="Z321" s="2">
        <v>132803.25</v>
      </c>
      <c r="AA321" s="3">
        <v>63.628640726273851</v>
      </c>
      <c r="AB321" s="6">
        <v>1.3437120275620087</v>
      </c>
      <c r="AC321" s="3">
        <v>47.352884711257495</v>
      </c>
      <c r="AD321" s="4">
        <v>175768.67891891894</v>
      </c>
      <c r="AE321" s="5">
        <v>2.0800804850934912E-2</v>
      </c>
      <c r="AL321" s="7">
        <v>0.2880718740335122</v>
      </c>
      <c r="AN321" s="7">
        <v>0.32210547572619475</v>
      </c>
      <c r="AO321" s="7">
        <v>0.31862360296152392</v>
      </c>
      <c r="AP321" s="7">
        <v>-2.316940851005167E-2</v>
      </c>
      <c r="AQ321" s="7">
        <v>2.6405357501948501E-3</v>
      </c>
      <c r="AR321" s="7">
        <v>-2.5741971663787888E-2</v>
      </c>
      <c r="AS321" s="7">
        <v>0.67280694137095964</v>
      </c>
      <c r="AT321" s="8">
        <v>0.62130066002740247</v>
      </c>
    </row>
    <row r="322" spans="1:46" x14ac:dyDescent="0.3">
      <c r="A322" t="str">
        <f t="shared" ref="A322:A385" si="20">_xlfn.CONCAT(B322," &amp; ",C322," &gt; ",D322)</f>
        <v>202404 &amp; Segm SDC &gt; Les Eco-responsables</v>
      </c>
      <c r="B322">
        <v>202404</v>
      </c>
      <c r="C322" t="s">
        <v>59</v>
      </c>
      <c r="D322" t="s">
        <v>67</v>
      </c>
      <c r="E322" s="4">
        <v>0</v>
      </c>
      <c r="F322" s="4">
        <v>10884323.624684684</v>
      </c>
      <c r="H322" s="2">
        <v>235928.82882882882</v>
      </c>
      <c r="I322" s="2">
        <v>175117.5</v>
      </c>
      <c r="J322" s="3">
        <v>62.154402756347501</v>
      </c>
      <c r="K322" s="6">
        <v>1.3472601472087531</v>
      </c>
      <c r="L322" s="3">
        <v>46.133928094821691</v>
      </c>
      <c r="M322" s="53">
        <v>4.0021484997861477E-2</v>
      </c>
      <c r="N322" s="53">
        <v>4.3427064794281739E-2</v>
      </c>
      <c r="O322" s="4">
        <v>294027.06617117109</v>
      </c>
      <c r="P322" s="5">
        <v>2.7013811451208937E-2</v>
      </c>
      <c r="V322" s="4">
        <v>0</v>
      </c>
      <c r="W322" s="4">
        <v>8450090.2815315276</v>
      </c>
      <c r="Y322" s="2">
        <v>178449.32432432432</v>
      </c>
      <c r="Z322" s="2">
        <v>132803.25</v>
      </c>
      <c r="AA322" s="3">
        <v>63.628640726273851</v>
      </c>
      <c r="AB322" s="6">
        <v>1.3437120275620087</v>
      </c>
      <c r="AC322" s="3">
        <v>47.352884711257495</v>
      </c>
      <c r="AD322" s="4">
        <v>175768.67891891894</v>
      </c>
      <c r="AE322" s="5">
        <v>2.0800804850934912E-2</v>
      </c>
      <c r="AL322" s="7">
        <v>0.2880718740335122</v>
      </c>
      <c r="AN322" s="7">
        <v>0.32210547572619475</v>
      </c>
      <c r="AO322" s="7">
        <v>0.31862360296152392</v>
      </c>
      <c r="AP322" s="7">
        <v>-2.316940851005167E-2</v>
      </c>
      <c r="AQ322" s="7">
        <v>2.6405357501948501E-3</v>
      </c>
      <c r="AR322" s="7">
        <v>-2.5741971663787888E-2</v>
      </c>
      <c r="AS322" s="7">
        <v>0.67280694137095964</v>
      </c>
      <c r="AT322" s="8">
        <v>0.62130066002740247</v>
      </c>
    </row>
    <row r="323" spans="1:46" x14ac:dyDescent="0.3">
      <c r="A323" t="str">
        <f t="shared" si="20"/>
        <v>202404 &amp; Segm SDC &gt; Les Eco-responsables</v>
      </c>
      <c r="B323">
        <v>202404</v>
      </c>
      <c r="C323" t="s">
        <v>59</v>
      </c>
      <c r="D323" t="s">
        <v>67</v>
      </c>
      <c r="E323" s="4">
        <v>0</v>
      </c>
      <c r="F323" s="4">
        <v>10884323.624684684</v>
      </c>
      <c r="H323" s="2">
        <v>235928.82882882882</v>
      </c>
      <c r="I323" s="2">
        <v>175117.5</v>
      </c>
      <c r="J323" s="3">
        <v>62.154402756347501</v>
      </c>
      <c r="K323" s="6">
        <v>1.3472601472087531</v>
      </c>
      <c r="L323" s="3">
        <v>46.133928094821691</v>
      </c>
      <c r="M323" s="53">
        <v>4.0021484997861477E-2</v>
      </c>
      <c r="N323" s="53">
        <v>4.3427064794281739E-2</v>
      </c>
      <c r="O323" s="4">
        <v>294027.06617117109</v>
      </c>
      <c r="P323" s="5">
        <v>2.7013811451208937E-2</v>
      </c>
      <c r="V323" s="4">
        <v>0</v>
      </c>
      <c r="W323" s="4">
        <v>8450090.2815315276</v>
      </c>
      <c r="Y323" s="2">
        <v>178449.32432432432</v>
      </c>
      <c r="Z323" s="2">
        <v>132803.25</v>
      </c>
      <c r="AA323" s="3">
        <v>63.628640726273851</v>
      </c>
      <c r="AB323" s="6">
        <v>1.3437120275620087</v>
      </c>
      <c r="AC323" s="3">
        <v>47.352884711257495</v>
      </c>
      <c r="AD323" s="4">
        <v>175768.67891891894</v>
      </c>
      <c r="AE323" s="5">
        <v>2.0800804850934912E-2</v>
      </c>
      <c r="AL323" s="7">
        <v>0.2880718740335122</v>
      </c>
      <c r="AN323" s="7">
        <v>0.32210547572619475</v>
      </c>
      <c r="AO323" s="7">
        <v>0.31862360296152392</v>
      </c>
      <c r="AP323" s="7">
        <v>-2.316940851005167E-2</v>
      </c>
      <c r="AQ323" s="7">
        <v>2.6405357501948501E-3</v>
      </c>
      <c r="AR323" s="7">
        <v>-2.5741971663787888E-2</v>
      </c>
      <c r="AS323" s="7">
        <v>0.67280694137095964</v>
      </c>
      <c r="AT323" s="8">
        <v>0.62130066002740247</v>
      </c>
    </row>
    <row r="324" spans="1:46" x14ac:dyDescent="0.3">
      <c r="A324" t="str">
        <f t="shared" si="20"/>
        <v>202404 &amp; Segm SDC &gt; Les Eco-responsables</v>
      </c>
      <c r="B324">
        <v>202404</v>
      </c>
      <c r="C324" t="s">
        <v>59</v>
      </c>
      <c r="D324" t="s">
        <v>67</v>
      </c>
      <c r="E324" s="4">
        <v>0</v>
      </c>
      <c r="F324" s="4">
        <v>10884323.624684684</v>
      </c>
      <c r="H324" s="2">
        <v>235928.82882882882</v>
      </c>
      <c r="I324" s="2">
        <v>175117.5</v>
      </c>
      <c r="J324" s="3">
        <v>62.154402756347501</v>
      </c>
      <c r="K324" s="6">
        <v>1.3472601472087531</v>
      </c>
      <c r="L324" s="3">
        <v>46.133928094821691</v>
      </c>
      <c r="M324" s="53">
        <v>4.0021484997861477E-2</v>
      </c>
      <c r="N324" s="53">
        <v>4.3427064794281739E-2</v>
      </c>
      <c r="O324" s="4">
        <v>294027.06617117109</v>
      </c>
      <c r="P324" s="5">
        <v>2.7013811451208937E-2</v>
      </c>
      <c r="V324" s="4">
        <v>0</v>
      </c>
      <c r="W324" s="4">
        <v>8450090.2815315276</v>
      </c>
      <c r="Y324" s="2">
        <v>178449.32432432432</v>
      </c>
      <c r="Z324" s="2">
        <v>132803.25</v>
      </c>
      <c r="AA324" s="3">
        <v>63.628640726273851</v>
      </c>
      <c r="AB324" s="6">
        <v>1.3437120275620087</v>
      </c>
      <c r="AC324" s="3">
        <v>47.352884711257495</v>
      </c>
      <c r="AD324" s="4">
        <v>175768.67891891894</v>
      </c>
      <c r="AE324" s="5">
        <v>2.0800804850934912E-2</v>
      </c>
      <c r="AL324" s="7">
        <v>0.2880718740335122</v>
      </c>
      <c r="AN324" s="7">
        <v>0.32210547572619475</v>
      </c>
      <c r="AO324" s="7">
        <v>0.31862360296152392</v>
      </c>
      <c r="AP324" s="7">
        <v>-2.316940851005167E-2</v>
      </c>
      <c r="AQ324" s="7">
        <v>2.6405357501948501E-3</v>
      </c>
      <c r="AR324" s="7">
        <v>-2.5741971663787888E-2</v>
      </c>
      <c r="AS324" s="7">
        <v>0.67280694137095964</v>
      </c>
      <c r="AT324" s="8">
        <v>0.62130066002740247</v>
      </c>
    </row>
    <row r="325" spans="1:46" x14ac:dyDescent="0.3">
      <c r="A325" t="str">
        <f t="shared" si="20"/>
        <v>202402 &amp; Segm SDC &gt; Les Eco-responsables</v>
      </c>
      <c r="B325">
        <v>202402</v>
      </c>
      <c r="C325" t="s">
        <v>59</v>
      </c>
      <c r="D325" t="s">
        <v>67</v>
      </c>
      <c r="E325" s="4">
        <v>0</v>
      </c>
      <c r="F325" s="4">
        <v>31226392.422342323</v>
      </c>
      <c r="H325" s="2">
        <v>627799.54954954947</v>
      </c>
      <c r="I325" s="2">
        <v>454131</v>
      </c>
      <c r="J325" s="3">
        <v>68.760759389564512</v>
      </c>
      <c r="K325" s="6">
        <v>1.3824194991082959</v>
      </c>
      <c r="L325" s="3">
        <v>49.739431072780278</v>
      </c>
      <c r="M325" s="53">
        <v>0.12078835528086415</v>
      </c>
      <c r="N325" s="53">
        <v>0.11469950925170498</v>
      </c>
      <c r="O325" s="4">
        <v>886786.16063063068</v>
      </c>
      <c r="P325" s="5">
        <v>2.8398610657186893E-2</v>
      </c>
      <c r="V325" s="4">
        <v>0</v>
      </c>
      <c r="W325" s="4">
        <v>28319186.982702713</v>
      </c>
      <c r="Y325" s="2">
        <v>569777.02702702698</v>
      </c>
      <c r="Z325" s="2">
        <v>431863.5</v>
      </c>
      <c r="AA325" s="3">
        <v>65.574393257829641</v>
      </c>
      <c r="AB325" s="6">
        <v>1.3193451797316211</v>
      </c>
      <c r="AC325" s="3">
        <v>49.702226729754429</v>
      </c>
      <c r="AD325" s="4">
        <v>776568.86603603617</v>
      </c>
      <c r="AE325" s="5">
        <v>2.7422004258468382E-2</v>
      </c>
      <c r="AL325" s="7">
        <v>0.10265850645413388</v>
      </c>
      <c r="AN325" s="7">
        <v>0.10183373454923483</v>
      </c>
      <c r="AO325" s="7">
        <v>5.156143086878151E-2</v>
      </c>
      <c r="AP325" s="7">
        <v>4.8591622025483394E-2</v>
      </c>
      <c r="AQ325" s="7">
        <v>4.7807291333345603E-2</v>
      </c>
      <c r="AR325" s="7">
        <v>7.4854479313657407E-4</v>
      </c>
      <c r="AS325" s="7">
        <v>0.1419285518838711</v>
      </c>
      <c r="AT325" s="8">
        <v>9.7660639871851099E-2</v>
      </c>
    </row>
    <row r="326" spans="1:46" x14ac:dyDescent="0.3">
      <c r="A326" t="str">
        <f t="shared" si="20"/>
        <v>202402 &amp; Segm SDC &gt; Les Eco-responsables</v>
      </c>
      <c r="B326">
        <v>202402</v>
      </c>
      <c r="C326" t="s">
        <v>59</v>
      </c>
      <c r="D326" t="s">
        <v>67</v>
      </c>
      <c r="E326" s="4">
        <v>0</v>
      </c>
      <c r="F326" s="4">
        <v>31226392.422342323</v>
      </c>
      <c r="H326" s="2">
        <v>627799.54954954947</v>
      </c>
      <c r="I326" s="2">
        <v>454131</v>
      </c>
      <c r="J326" s="3">
        <v>68.760759389564512</v>
      </c>
      <c r="K326" s="6">
        <v>1.3824194991082959</v>
      </c>
      <c r="L326" s="3">
        <v>49.739431072780278</v>
      </c>
      <c r="M326" s="53">
        <v>0.12078835528086415</v>
      </c>
      <c r="N326" s="53">
        <v>0.11469950925170498</v>
      </c>
      <c r="O326" s="4">
        <v>886786.16063063068</v>
      </c>
      <c r="P326" s="5">
        <v>2.8398610657186893E-2</v>
      </c>
      <c r="V326" s="4">
        <v>0</v>
      </c>
      <c r="W326" s="4">
        <v>28319186.982702713</v>
      </c>
      <c r="Y326" s="2">
        <v>569777.02702702698</v>
      </c>
      <c r="Z326" s="2">
        <v>431863.5</v>
      </c>
      <c r="AA326" s="3">
        <v>65.574393257829641</v>
      </c>
      <c r="AB326" s="6">
        <v>1.3193451797316211</v>
      </c>
      <c r="AC326" s="3">
        <v>49.702226729754429</v>
      </c>
      <c r="AD326" s="4">
        <v>776568.86603603617</v>
      </c>
      <c r="AE326" s="5">
        <v>2.7422004258468382E-2</v>
      </c>
      <c r="AL326" s="7">
        <v>0.10265850645413388</v>
      </c>
      <c r="AN326" s="7">
        <v>0.10183373454923483</v>
      </c>
      <c r="AO326" s="7">
        <v>5.156143086878151E-2</v>
      </c>
      <c r="AP326" s="7">
        <v>4.8591622025483394E-2</v>
      </c>
      <c r="AQ326" s="7">
        <v>4.7807291333345603E-2</v>
      </c>
      <c r="AR326" s="7">
        <v>7.4854479313657407E-4</v>
      </c>
      <c r="AS326" s="7">
        <v>0.1419285518838711</v>
      </c>
      <c r="AT326" s="8">
        <v>9.7660639871851099E-2</v>
      </c>
    </row>
    <row r="327" spans="1:46" x14ac:dyDescent="0.3">
      <c r="A327" t="str">
        <f t="shared" si="20"/>
        <v>202402 &amp; Segm SDC &gt; Les Eco-responsables</v>
      </c>
      <c r="B327">
        <v>202402</v>
      </c>
      <c r="C327" t="s">
        <v>59</v>
      </c>
      <c r="D327" t="s">
        <v>67</v>
      </c>
      <c r="E327" s="4">
        <v>0</v>
      </c>
      <c r="F327" s="4">
        <v>31226392.422342323</v>
      </c>
      <c r="H327" s="2">
        <v>627799.54954954947</v>
      </c>
      <c r="I327" s="2">
        <v>454131</v>
      </c>
      <c r="J327" s="3">
        <v>68.760759389564512</v>
      </c>
      <c r="K327" s="6">
        <v>1.3824194991082959</v>
      </c>
      <c r="L327" s="3">
        <v>49.739431072780278</v>
      </c>
      <c r="M327" s="53">
        <v>0.12078835528086415</v>
      </c>
      <c r="N327" s="53">
        <v>0.11469950925170498</v>
      </c>
      <c r="O327" s="4">
        <v>886786.16063063068</v>
      </c>
      <c r="P327" s="5">
        <v>2.8398610657186893E-2</v>
      </c>
      <c r="V327" s="4">
        <v>0</v>
      </c>
      <c r="W327" s="4">
        <v>28319186.982702713</v>
      </c>
      <c r="Y327" s="2">
        <v>569777.02702702698</v>
      </c>
      <c r="Z327" s="2">
        <v>431863.5</v>
      </c>
      <c r="AA327" s="3">
        <v>65.574393257829641</v>
      </c>
      <c r="AB327" s="6">
        <v>1.3193451797316211</v>
      </c>
      <c r="AC327" s="3">
        <v>49.702226729754429</v>
      </c>
      <c r="AD327" s="4">
        <v>776568.86603603617</v>
      </c>
      <c r="AE327" s="5">
        <v>2.7422004258468382E-2</v>
      </c>
      <c r="AL327" s="7">
        <v>0.10265850645413388</v>
      </c>
      <c r="AN327" s="7">
        <v>0.10183373454923483</v>
      </c>
      <c r="AO327" s="7">
        <v>5.156143086878151E-2</v>
      </c>
      <c r="AP327" s="7">
        <v>4.8591622025483394E-2</v>
      </c>
      <c r="AQ327" s="7">
        <v>4.7807291333345603E-2</v>
      </c>
      <c r="AR327" s="7">
        <v>7.4854479313657407E-4</v>
      </c>
      <c r="AS327" s="7">
        <v>0.1419285518838711</v>
      </c>
      <c r="AT327" s="8">
        <v>9.7660639871851099E-2</v>
      </c>
    </row>
    <row r="328" spans="1:46" x14ac:dyDescent="0.3">
      <c r="A328" t="str">
        <f t="shared" si="20"/>
        <v>202402 &amp; Segm SDC &gt; Les Eco-responsables</v>
      </c>
      <c r="B328">
        <v>202402</v>
      </c>
      <c r="C328" t="s">
        <v>59</v>
      </c>
      <c r="D328" t="s">
        <v>67</v>
      </c>
      <c r="E328" s="4">
        <v>0</v>
      </c>
      <c r="F328" s="4">
        <v>31226392.422342323</v>
      </c>
      <c r="H328" s="2">
        <v>627799.54954954947</v>
      </c>
      <c r="I328" s="2">
        <v>454131</v>
      </c>
      <c r="J328" s="3">
        <v>68.760759389564512</v>
      </c>
      <c r="K328" s="6">
        <v>1.3824194991082959</v>
      </c>
      <c r="L328" s="3">
        <v>49.739431072780278</v>
      </c>
      <c r="M328" s="53">
        <v>0.12078835528086415</v>
      </c>
      <c r="N328" s="53">
        <v>0.11469950925170498</v>
      </c>
      <c r="O328" s="4">
        <v>886786.16063063068</v>
      </c>
      <c r="P328" s="5">
        <v>2.8398610657186893E-2</v>
      </c>
      <c r="V328" s="4">
        <v>0</v>
      </c>
      <c r="W328" s="4">
        <v>28319186.982702713</v>
      </c>
      <c r="Y328" s="2">
        <v>569777.02702702698</v>
      </c>
      <c r="Z328" s="2">
        <v>431863.5</v>
      </c>
      <c r="AA328" s="3">
        <v>65.574393257829641</v>
      </c>
      <c r="AB328" s="6">
        <v>1.3193451797316211</v>
      </c>
      <c r="AC328" s="3">
        <v>49.702226729754429</v>
      </c>
      <c r="AD328" s="4">
        <v>776568.86603603617</v>
      </c>
      <c r="AE328" s="5">
        <v>2.7422004258468382E-2</v>
      </c>
      <c r="AL328" s="7">
        <v>0.10265850645413388</v>
      </c>
      <c r="AN328" s="7">
        <v>0.10183373454923483</v>
      </c>
      <c r="AO328" s="7">
        <v>5.156143086878151E-2</v>
      </c>
      <c r="AP328" s="7">
        <v>4.8591622025483394E-2</v>
      </c>
      <c r="AQ328" s="7">
        <v>4.7807291333345603E-2</v>
      </c>
      <c r="AR328" s="7">
        <v>7.4854479313657407E-4</v>
      </c>
      <c r="AS328" s="7">
        <v>0.1419285518838711</v>
      </c>
      <c r="AT328" s="8">
        <v>9.7660639871851099E-2</v>
      </c>
    </row>
    <row r="329" spans="1:46" x14ac:dyDescent="0.3">
      <c r="A329" t="str">
        <f t="shared" si="20"/>
        <v>202407 &amp; Segm SDC &gt; Les Eco-responsables</v>
      </c>
      <c r="B329">
        <v>202407</v>
      </c>
      <c r="C329" t="s">
        <v>59</v>
      </c>
      <c r="D329" t="s">
        <v>67</v>
      </c>
      <c r="E329" s="4">
        <v>0</v>
      </c>
      <c r="F329" s="4">
        <v>11077904.718423413</v>
      </c>
      <c r="H329" s="2">
        <v>237688.51351351349</v>
      </c>
      <c r="I329" s="2">
        <v>170265.75</v>
      </c>
      <c r="J329" s="3">
        <v>65.062437503863308</v>
      </c>
      <c r="K329" s="6">
        <v>1.3959854727889403</v>
      </c>
      <c r="L329" s="3">
        <v>46.606815595207941</v>
      </c>
      <c r="M329" s="53">
        <v>3.8571642185991101E-2</v>
      </c>
      <c r="N329" s="53">
        <v>4.1834411130093535E-2</v>
      </c>
      <c r="O329" s="4">
        <v>155776.6563288288</v>
      </c>
      <c r="P329" s="5">
        <v>1.4061924189486858E-2</v>
      </c>
      <c r="V329" s="4">
        <v>0</v>
      </c>
      <c r="W329" s="4">
        <v>33510154.176486466</v>
      </c>
      <c r="Y329" s="2">
        <v>649748.87387387385</v>
      </c>
      <c r="Z329" s="2">
        <v>451671</v>
      </c>
      <c r="AA329" s="3">
        <v>74.191511468494696</v>
      </c>
      <c r="AB329" s="6">
        <v>1.4385445908058605</v>
      </c>
      <c r="AC329" s="3">
        <v>51.574008857753398</v>
      </c>
      <c r="AD329" s="4">
        <v>487669.03245202708</v>
      </c>
      <c r="AE329" s="5">
        <v>1.455287343303889E-2</v>
      </c>
      <c r="AL329" s="7">
        <v>-0.66941648014867683</v>
      </c>
      <c r="AN329" s="7">
        <v>-0.63418403159917991</v>
      </c>
      <c r="AO329" s="7">
        <v>-0.62303147645077939</v>
      </c>
      <c r="AP329" s="7">
        <v>-0.12304741855148804</v>
      </c>
      <c r="AQ329" s="7">
        <v>-2.9584844494169649E-2</v>
      </c>
      <c r="AR329" s="7">
        <v>-9.6311948063713682E-2</v>
      </c>
      <c r="AS329" s="7">
        <v>-0.68056889824318945</v>
      </c>
      <c r="AT329" s="8">
        <v>-4.9094924355203191E-2</v>
      </c>
    </row>
    <row r="330" spans="1:46" x14ac:dyDescent="0.3">
      <c r="A330" t="str">
        <f t="shared" si="20"/>
        <v>202407 &amp; Segm SDC &gt; Les Eco-responsables</v>
      </c>
      <c r="B330">
        <v>202407</v>
      </c>
      <c r="C330" t="s">
        <v>59</v>
      </c>
      <c r="D330" t="s">
        <v>67</v>
      </c>
      <c r="E330" s="4">
        <v>0</v>
      </c>
      <c r="F330" s="4">
        <v>11077904.718423413</v>
      </c>
      <c r="H330" s="2">
        <v>237688.51351351349</v>
      </c>
      <c r="I330" s="2">
        <v>170265.75</v>
      </c>
      <c r="J330" s="3">
        <v>65.062437503863308</v>
      </c>
      <c r="K330" s="6">
        <v>1.3959854727889403</v>
      </c>
      <c r="L330" s="3">
        <v>46.606815595207941</v>
      </c>
      <c r="M330" s="53">
        <v>3.8571642185991101E-2</v>
      </c>
      <c r="N330" s="53">
        <v>4.1834411130093535E-2</v>
      </c>
      <c r="O330" s="4">
        <v>155776.6563288288</v>
      </c>
      <c r="P330" s="5">
        <v>1.4061924189486858E-2</v>
      </c>
      <c r="V330" s="4">
        <v>0</v>
      </c>
      <c r="W330" s="4">
        <v>33510154.176486466</v>
      </c>
      <c r="Y330" s="2">
        <v>649748.87387387385</v>
      </c>
      <c r="Z330" s="2">
        <v>451671</v>
      </c>
      <c r="AA330" s="3">
        <v>74.191511468494696</v>
      </c>
      <c r="AB330" s="6">
        <v>1.4385445908058605</v>
      </c>
      <c r="AC330" s="3">
        <v>51.574008857753398</v>
      </c>
      <c r="AD330" s="4">
        <v>487669.03245202708</v>
      </c>
      <c r="AE330" s="5">
        <v>1.455287343303889E-2</v>
      </c>
      <c r="AL330" s="7">
        <v>-0.66941648014867683</v>
      </c>
      <c r="AN330" s="7">
        <v>-0.63418403159917991</v>
      </c>
      <c r="AO330" s="7">
        <v>-0.62303147645077939</v>
      </c>
      <c r="AP330" s="7">
        <v>-0.12304741855148804</v>
      </c>
      <c r="AQ330" s="7">
        <v>-2.9584844494169649E-2</v>
      </c>
      <c r="AR330" s="7">
        <v>-9.6311948063713682E-2</v>
      </c>
      <c r="AS330" s="7">
        <v>-0.68056889824318945</v>
      </c>
      <c r="AT330" s="8">
        <v>-4.9094924355203191E-2</v>
      </c>
    </row>
    <row r="331" spans="1:46" x14ac:dyDescent="0.3">
      <c r="A331" t="str">
        <f t="shared" si="20"/>
        <v>202407 &amp; Segm SDC &gt; Les Eco-responsables</v>
      </c>
      <c r="B331">
        <v>202407</v>
      </c>
      <c r="C331" t="s">
        <v>59</v>
      </c>
      <c r="D331" t="s">
        <v>67</v>
      </c>
      <c r="E331" s="4">
        <v>0</v>
      </c>
      <c r="F331" s="4">
        <v>11077904.718423413</v>
      </c>
      <c r="H331" s="2">
        <v>237688.51351351349</v>
      </c>
      <c r="I331" s="2">
        <v>170265.75</v>
      </c>
      <c r="J331" s="3">
        <v>65.062437503863308</v>
      </c>
      <c r="K331" s="6">
        <v>1.3959854727889403</v>
      </c>
      <c r="L331" s="3">
        <v>46.606815595207941</v>
      </c>
      <c r="M331" s="53">
        <v>3.8571642185991101E-2</v>
      </c>
      <c r="N331" s="53">
        <v>4.1834411130093535E-2</v>
      </c>
      <c r="O331" s="4">
        <v>155776.6563288288</v>
      </c>
      <c r="P331" s="5">
        <v>1.4061924189486858E-2</v>
      </c>
      <c r="V331" s="4">
        <v>0</v>
      </c>
      <c r="W331" s="4">
        <v>33510154.176486466</v>
      </c>
      <c r="Y331" s="2">
        <v>649748.87387387385</v>
      </c>
      <c r="Z331" s="2">
        <v>451671</v>
      </c>
      <c r="AA331" s="3">
        <v>74.191511468494696</v>
      </c>
      <c r="AB331" s="6">
        <v>1.4385445908058605</v>
      </c>
      <c r="AC331" s="3">
        <v>51.574008857753398</v>
      </c>
      <c r="AD331" s="4">
        <v>487669.03245202708</v>
      </c>
      <c r="AE331" s="5">
        <v>1.455287343303889E-2</v>
      </c>
      <c r="AL331" s="7">
        <v>-0.66941648014867683</v>
      </c>
      <c r="AN331" s="7">
        <v>-0.63418403159917991</v>
      </c>
      <c r="AO331" s="7">
        <v>-0.62303147645077939</v>
      </c>
      <c r="AP331" s="7">
        <v>-0.12304741855148804</v>
      </c>
      <c r="AQ331" s="7">
        <v>-2.9584844494169649E-2</v>
      </c>
      <c r="AR331" s="7">
        <v>-9.6311948063713682E-2</v>
      </c>
      <c r="AS331" s="7">
        <v>-0.68056889824318945</v>
      </c>
      <c r="AT331" s="8">
        <v>-4.9094924355203191E-2</v>
      </c>
    </row>
    <row r="332" spans="1:46" x14ac:dyDescent="0.3">
      <c r="A332" t="str">
        <f t="shared" si="20"/>
        <v>202407 &amp; Segm SDC &gt; Les Eco-responsables</v>
      </c>
      <c r="B332">
        <v>202407</v>
      </c>
      <c r="C332" t="s">
        <v>59</v>
      </c>
      <c r="D332" t="s">
        <v>67</v>
      </c>
      <c r="E332" s="4">
        <v>0</v>
      </c>
      <c r="F332" s="4">
        <v>11077904.718423413</v>
      </c>
      <c r="H332" s="2">
        <v>237688.51351351349</v>
      </c>
      <c r="I332" s="2">
        <v>170265.75</v>
      </c>
      <c r="J332" s="3">
        <v>65.062437503863308</v>
      </c>
      <c r="K332" s="6">
        <v>1.3959854727889403</v>
      </c>
      <c r="L332" s="3">
        <v>46.606815595207941</v>
      </c>
      <c r="M332" s="53">
        <v>3.8571642185991101E-2</v>
      </c>
      <c r="N332" s="53">
        <v>4.1834411130093535E-2</v>
      </c>
      <c r="O332" s="4">
        <v>155776.6563288288</v>
      </c>
      <c r="P332" s="5">
        <v>1.4061924189486858E-2</v>
      </c>
      <c r="V332" s="4">
        <v>0</v>
      </c>
      <c r="W332" s="4">
        <v>33510154.176486466</v>
      </c>
      <c r="Y332" s="2">
        <v>649748.87387387385</v>
      </c>
      <c r="Z332" s="2">
        <v>451671</v>
      </c>
      <c r="AA332" s="3">
        <v>74.191511468494696</v>
      </c>
      <c r="AB332" s="6">
        <v>1.4385445908058605</v>
      </c>
      <c r="AC332" s="3">
        <v>51.574008857753398</v>
      </c>
      <c r="AD332" s="4">
        <v>487669.03245202708</v>
      </c>
      <c r="AE332" s="5">
        <v>1.455287343303889E-2</v>
      </c>
      <c r="AL332" s="7">
        <v>-0.66941648014867683</v>
      </c>
      <c r="AN332" s="7">
        <v>-0.63418403159917991</v>
      </c>
      <c r="AO332" s="7">
        <v>-0.62303147645077939</v>
      </c>
      <c r="AP332" s="7">
        <v>-0.12304741855148804</v>
      </c>
      <c r="AQ332" s="7">
        <v>-2.9584844494169649E-2</v>
      </c>
      <c r="AR332" s="7">
        <v>-9.6311948063713682E-2</v>
      </c>
      <c r="AS332" s="7">
        <v>-0.68056889824318945</v>
      </c>
      <c r="AT332" s="8">
        <v>-4.9094924355203191E-2</v>
      </c>
    </row>
    <row r="333" spans="1:46" x14ac:dyDescent="0.3">
      <c r="A333" t="str">
        <f t="shared" si="20"/>
        <v>202412 &amp; Segm SDC &gt; Les Eco-responsables</v>
      </c>
      <c r="B333">
        <v>202412</v>
      </c>
      <c r="C333" t="s">
        <v>59</v>
      </c>
      <c r="D333" t="s">
        <v>67</v>
      </c>
      <c r="E333" s="4">
        <v>0</v>
      </c>
      <c r="F333" s="4">
        <v>25678563.763918921</v>
      </c>
      <c r="H333" s="2">
        <v>516806.08108108101</v>
      </c>
      <c r="I333" s="2">
        <v>343416.75</v>
      </c>
      <c r="J333" s="3">
        <v>74.773766171623606</v>
      </c>
      <c r="K333" s="6">
        <v>1.5048947993395225</v>
      </c>
      <c r="L333" s="3">
        <v>49.687038724860216</v>
      </c>
      <c r="M333" s="53">
        <v>7.57789610819017E-2</v>
      </c>
      <c r="N333" s="53">
        <v>8.0663240760102395E-2</v>
      </c>
      <c r="O333" s="4">
        <v>747499.35412364872</v>
      </c>
      <c r="P333" s="5">
        <v>2.9109858362638016E-2</v>
      </c>
      <c r="V333" s="4">
        <v>0</v>
      </c>
      <c r="W333" s="4">
        <v>40120704.161666669</v>
      </c>
      <c r="Y333" s="2">
        <v>729314.18918918911</v>
      </c>
      <c r="Z333" s="2">
        <v>463236.75</v>
      </c>
      <c r="AA333" s="3">
        <v>86.609501861988861</v>
      </c>
      <c r="AB333" s="6">
        <v>1.5743875873172608</v>
      </c>
      <c r="AC333" s="3">
        <v>55.011550243209491</v>
      </c>
      <c r="AD333" s="4">
        <v>1484406.4127477473</v>
      </c>
      <c r="AE333" s="5">
        <v>3.6998513454956347E-2</v>
      </c>
      <c r="AL333" s="7">
        <v>-0.35996727125109862</v>
      </c>
      <c r="AN333" s="7">
        <v>-0.2913807399584023</v>
      </c>
      <c r="AO333" s="7">
        <v>-0.25865823469316718</v>
      </c>
      <c r="AP333" s="7">
        <v>-0.13665631871691575</v>
      </c>
      <c r="AQ333" s="7">
        <v>-4.4139568005711505E-2</v>
      </c>
      <c r="AR333" s="7">
        <v>-9.6788974221036828E-2</v>
      </c>
      <c r="AS333" s="7">
        <v>-0.49643214438829353</v>
      </c>
      <c r="AT333" s="8">
        <v>-0.78886550923183318</v>
      </c>
    </row>
    <row r="334" spans="1:46" x14ac:dyDescent="0.3">
      <c r="A334" t="str">
        <f t="shared" si="20"/>
        <v>202412 &amp; Segm SDC &gt; Les Eco-responsables</v>
      </c>
      <c r="B334">
        <v>202412</v>
      </c>
      <c r="C334" t="s">
        <v>59</v>
      </c>
      <c r="D334" t="s">
        <v>67</v>
      </c>
      <c r="E334" s="4">
        <v>0</v>
      </c>
      <c r="F334" s="4">
        <v>25678563.763918921</v>
      </c>
      <c r="H334" s="2">
        <v>516806.08108108101</v>
      </c>
      <c r="I334" s="2">
        <v>343416.75</v>
      </c>
      <c r="J334" s="3">
        <v>74.773766171623606</v>
      </c>
      <c r="K334" s="6">
        <v>1.5048947993395225</v>
      </c>
      <c r="L334" s="3">
        <v>49.687038724860216</v>
      </c>
      <c r="M334" s="53">
        <v>7.57789610819017E-2</v>
      </c>
      <c r="N334" s="53">
        <v>8.0663240760102395E-2</v>
      </c>
      <c r="O334" s="4">
        <v>747499.35412364872</v>
      </c>
      <c r="P334" s="5">
        <v>2.9109858362638016E-2</v>
      </c>
      <c r="V334" s="4">
        <v>0</v>
      </c>
      <c r="W334" s="4">
        <v>40120704.161666669</v>
      </c>
      <c r="Y334" s="2">
        <v>729314.18918918911</v>
      </c>
      <c r="Z334" s="2">
        <v>463236.75</v>
      </c>
      <c r="AA334" s="3">
        <v>86.609501861988861</v>
      </c>
      <c r="AB334" s="6">
        <v>1.5743875873172608</v>
      </c>
      <c r="AC334" s="3">
        <v>55.011550243209491</v>
      </c>
      <c r="AD334" s="4">
        <v>1484406.4127477473</v>
      </c>
      <c r="AE334" s="5">
        <v>3.6998513454956347E-2</v>
      </c>
      <c r="AL334" s="7">
        <v>-0.35996727125109862</v>
      </c>
      <c r="AN334" s="7">
        <v>-0.2913807399584023</v>
      </c>
      <c r="AO334" s="7">
        <v>-0.25865823469316718</v>
      </c>
      <c r="AP334" s="7">
        <v>-0.13665631871691575</v>
      </c>
      <c r="AQ334" s="7">
        <v>-4.4139568005711505E-2</v>
      </c>
      <c r="AR334" s="7">
        <v>-9.6788974221036828E-2</v>
      </c>
      <c r="AS334" s="7">
        <v>-0.49643214438829353</v>
      </c>
      <c r="AT334" s="8">
        <v>-0.78886550923183318</v>
      </c>
    </row>
    <row r="335" spans="1:46" x14ac:dyDescent="0.3">
      <c r="A335" t="str">
        <f t="shared" si="20"/>
        <v>202412 &amp; Segm SDC &gt; Les Eco-responsables</v>
      </c>
      <c r="B335">
        <v>202412</v>
      </c>
      <c r="C335" t="s">
        <v>59</v>
      </c>
      <c r="D335" t="s">
        <v>67</v>
      </c>
      <c r="E335" s="4">
        <v>0</v>
      </c>
      <c r="F335" s="4">
        <v>25678563.763918921</v>
      </c>
      <c r="H335" s="2">
        <v>516806.08108108101</v>
      </c>
      <c r="I335" s="2">
        <v>343416.75</v>
      </c>
      <c r="J335" s="3">
        <v>74.773766171623606</v>
      </c>
      <c r="K335" s="6">
        <v>1.5048947993395225</v>
      </c>
      <c r="L335" s="3">
        <v>49.687038724860216</v>
      </c>
      <c r="M335" s="53">
        <v>7.57789610819017E-2</v>
      </c>
      <c r="N335" s="53">
        <v>8.0663240760102395E-2</v>
      </c>
      <c r="O335" s="4">
        <v>747499.35412364872</v>
      </c>
      <c r="P335" s="5">
        <v>2.9109858362638016E-2</v>
      </c>
      <c r="V335" s="4">
        <v>0</v>
      </c>
      <c r="W335" s="4">
        <v>40120704.161666669</v>
      </c>
      <c r="Y335" s="2">
        <v>729314.18918918911</v>
      </c>
      <c r="Z335" s="2">
        <v>463236.75</v>
      </c>
      <c r="AA335" s="3">
        <v>86.609501861988861</v>
      </c>
      <c r="AB335" s="6">
        <v>1.5743875873172608</v>
      </c>
      <c r="AC335" s="3">
        <v>55.011550243209491</v>
      </c>
      <c r="AD335" s="4">
        <v>1484406.4127477473</v>
      </c>
      <c r="AE335" s="5">
        <v>3.6998513454956347E-2</v>
      </c>
      <c r="AL335" s="7">
        <v>-0.35996727125109862</v>
      </c>
      <c r="AN335" s="7">
        <v>-0.2913807399584023</v>
      </c>
      <c r="AO335" s="7">
        <v>-0.25865823469316718</v>
      </c>
      <c r="AP335" s="7">
        <v>-0.13665631871691575</v>
      </c>
      <c r="AQ335" s="7">
        <v>-4.4139568005711505E-2</v>
      </c>
      <c r="AR335" s="7">
        <v>-9.6788974221036828E-2</v>
      </c>
      <c r="AS335" s="7">
        <v>-0.49643214438829353</v>
      </c>
      <c r="AT335" s="8">
        <v>-0.78886550923183318</v>
      </c>
    </row>
    <row r="336" spans="1:46" x14ac:dyDescent="0.3">
      <c r="A336" t="str">
        <f t="shared" si="20"/>
        <v>202412 &amp; Segm SDC &gt; Les Eco-responsables</v>
      </c>
      <c r="B336">
        <v>202412</v>
      </c>
      <c r="C336" t="s">
        <v>59</v>
      </c>
      <c r="D336" t="s">
        <v>67</v>
      </c>
      <c r="E336" s="4">
        <v>0</v>
      </c>
      <c r="F336" s="4">
        <v>25678563.763918921</v>
      </c>
      <c r="H336" s="2">
        <v>516806.08108108101</v>
      </c>
      <c r="I336" s="2">
        <v>343416.75</v>
      </c>
      <c r="J336" s="3">
        <v>74.773766171623606</v>
      </c>
      <c r="K336" s="6">
        <v>1.5048947993395225</v>
      </c>
      <c r="L336" s="3">
        <v>49.687038724860216</v>
      </c>
      <c r="M336" s="53">
        <v>7.57789610819017E-2</v>
      </c>
      <c r="N336" s="53">
        <v>8.0663240760102395E-2</v>
      </c>
      <c r="O336" s="4">
        <v>747499.35412364872</v>
      </c>
      <c r="P336" s="5">
        <v>2.9109858362638016E-2</v>
      </c>
      <c r="V336" s="4">
        <v>0</v>
      </c>
      <c r="W336" s="4">
        <v>40120704.161666669</v>
      </c>
      <c r="Y336" s="2">
        <v>729314.18918918911</v>
      </c>
      <c r="Z336" s="2">
        <v>463236.75</v>
      </c>
      <c r="AA336" s="3">
        <v>86.609501861988861</v>
      </c>
      <c r="AB336" s="6">
        <v>1.5743875873172608</v>
      </c>
      <c r="AC336" s="3">
        <v>55.011550243209491</v>
      </c>
      <c r="AD336" s="4">
        <v>1484406.4127477473</v>
      </c>
      <c r="AE336" s="5">
        <v>3.6998513454956347E-2</v>
      </c>
      <c r="AL336" s="7">
        <v>-0.35996727125109862</v>
      </c>
      <c r="AN336" s="7">
        <v>-0.2913807399584023</v>
      </c>
      <c r="AO336" s="7">
        <v>-0.25865823469316718</v>
      </c>
      <c r="AP336" s="7">
        <v>-0.13665631871691575</v>
      </c>
      <c r="AQ336" s="7">
        <v>-4.4139568005711505E-2</v>
      </c>
      <c r="AR336" s="7">
        <v>-9.6788974221036828E-2</v>
      </c>
      <c r="AS336" s="7">
        <v>-0.49643214438829353</v>
      </c>
      <c r="AT336" s="8">
        <v>-0.78886550923183318</v>
      </c>
    </row>
    <row r="337" spans="1:46" x14ac:dyDescent="0.3">
      <c r="A337" t="str">
        <f t="shared" si="20"/>
        <v>202407 &amp; Segm SDC &gt; Les Eco-responsables</v>
      </c>
      <c r="B337">
        <v>202407</v>
      </c>
      <c r="C337" t="s">
        <v>59</v>
      </c>
      <c r="D337" t="s">
        <v>67</v>
      </c>
      <c r="E337" s="4">
        <v>0</v>
      </c>
      <c r="F337" s="4">
        <v>34458302.59400899</v>
      </c>
      <c r="H337" s="2">
        <v>678515.99099099089</v>
      </c>
      <c r="I337" s="2">
        <v>457383</v>
      </c>
      <c r="J337" s="3">
        <v>75.337960951782179</v>
      </c>
      <c r="K337" s="6">
        <v>1.4834744426246513</v>
      </c>
      <c r="L337" s="3">
        <v>50.784805445309708</v>
      </c>
      <c r="M337" s="53">
        <v>0.1199787641955708</v>
      </c>
      <c r="N337" s="53">
        <v>0.11237931566340013</v>
      </c>
      <c r="O337" s="4">
        <v>487330.79615991015</v>
      </c>
      <c r="P337" s="5">
        <v>1.4142623387509481E-2</v>
      </c>
      <c r="V337" s="4">
        <v>0</v>
      </c>
      <c r="W337" s="4">
        <v>8404612.1992792804</v>
      </c>
      <c r="Y337" s="2">
        <v>180830.18018018018</v>
      </c>
      <c r="Z337" s="2">
        <v>132346.5</v>
      </c>
      <c r="AA337" s="3">
        <v>63.50460495199556</v>
      </c>
      <c r="AB337" s="6">
        <v>1.366338967635564</v>
      </c>
      <c r="AC337" s="3">
        <v>46.477928578652516</v>
      </c>
      <c r="AD337" s="4">
        <v>115116.69459459455</v>
      </c>
      <c r="AE337" s="5">
        <v>1.3696847857473559E-2</v>
      </c>
      <c r="AL337" s="7">
        <v>3.099927727416607</v>
      </c>
      <c r="AN337" s="7">
        <v>2.7522275889727803</v>
      </c>
      <c r="AO337" s="7">
        <v>2.4559508562750052</v>
      </c>
      <c r="AP337" s="7">
        <v>0.18633854991668231</v>
      </c>
      <c r="AQ337" s="7">
        <v>8.5729440324599171E-2</v>
      </c>
      <c r="AR337" s="7">
        <v>9.2664991714698663E-2</v>
      </c>
      <c r="AS337" s="7">
        <v>3.233363352519274</v>
      </c>
      <c r="AT337" s="8">
        <v>4.4577553003592209E-2</v>
      </c>
    </row>
    <row r="338" spans="1:46" x14ac:dyDescent="0.3">
      <c r="A338" t="str">
        <f t="shared" si="20"/>
        <v>202407 &amp; Segm SDC &gt; Les Eco-responsables</v>
      </c>
      <c r="B338">
        <v>202407</v>
      </c>
      <c r="C338" t="s">
        <v>59</v>
      </c>
      <c r="D338" t="s">
        <v>67</v>
      </c>
      <c r="E338" s="4">
        <v>0</v>
      </c>
      <c r="F338" s="4">
        <v>34458302.59400899</v>
      </c>
      <c r="H338" s="2">
        <v>678515.99099099089</v>
      </c>
      <c r="I338" s="2">
        <v>457383</v>
      </c>
      <c r="J338" s="3">
        <v>75.337960951782179</v>
      </c>
      <c r="K338" s="6">
        <v>1.4834744426246513</v>
      </c>
      <c r="L338" s="3">
        <v>50.784805445309708</v>
      </c>
      <c r="M338" s="53">
        <v>0.1199787641955708</v>
      </c>
      <c r="N338" s="53">
        <v>0.11237931566340013</v>
      </c>
      <c r="O338" s="4">
        <v>487330.79615991015</v>
      </c>
      <c r="P338" s="5">
        <v>1.4142623387509481E-2</v>
      </c>
      <c r="V338" s="4">
        <v>0</v>
      </c>
      <c r="W338" s="4">
        <v>8404612.1992792804</v>
      </c>
      <c r="Y338" s="2">
        <v>180830.18018018018</v>
      </c>
      <c r="Z338" s="2">
        <v>132346.5</v>
      </c>
      <c r="AA338" s="3">
        <v>63.50460495199556</v>
      </c>
      <c r="AB338" s="6">
        <v>1.366338967635564</v>
      </c>
      <c r="AC338" s="3">
        <v>46.477928578652516</v>
      </c>
      <c r="AD338" s="4">
        <v>115116.69459459455</v>
      </c>
      <c r="AE338" s="5">
        <v>1.3696847857473559E-2</v>
      </c>
      <c r="AL338" s="7">
        <v>3.099927727416607</v>
      </c>
      <c r="AN338" s="7">
        <v>2.7522275889727803</v>
      </c>
      <c r="AO338" s="7">
        <v>2.4559508562750052</v>
      </c>
      <c r="AP338" s="7">
        <v>0.18633854991668231</v>
      </c>
      <c r="AQ338" s="7">
        <v>8.5729440324599171E-2</v>
      </c>
      <c r="AR338" s="7">
        <v>9.2664991714698663E-2</v>
      </c>
      <c r="AS338" s="7">
        <v>3.233363352519274</v>
      </c>
      <c r="AT338" s="8">
        <v>4.4577553003592209E-2</v>
      </c>
    </row>
    <row r="339" spans="1:46" x14ac:dyDescent="0.3">
      <c r="A339" t="str">
        <f t="shared" si="20"/>
        <v>202407 &amp; Segm SDC &gt; Les Eco-responsables</v>
      </c>
      <c r="B339">
        <v>202407</v>
      </c>
      <c r="C339" t="s">
        <v>59</v>
      </c>
      <c r="D339" t="s">
        <v>67</v>
      </c>
      <c r="E339" s="4">
        <v>0</v>
      </c>
      <c r="F339" s="4">
        <v>34458302.59400899</v>
      </c>
      <c r="H339" s="2">
        <v>678515.99099099089</v>
      </c>
      <c r="I339" s="2">
        <v>457383</v>
      </c>
      <c r="J339" s="3">
        <v>75.337960951782179</v>
      </c>
      <c r="K339" s="6">
        <v>1.4834744426246513</v>
      </c>
      <c r="L339" s="3">
        <v>50.784805445309708</v>
      </c>
      <c r="M339" s="53">
        <v>0.1199787641955708</v>
      </c>
      <c r="N339" s="53">
        <v>0.11237931566340013</v>
      </c>
      <c r="O339" s="4">
        <v>487330.79615991015</v>
      </c>
      <c r="P339" s="5">
        <v>1.4142623387509481E-2</v>
      </c>
      <c r="V339" s="4">
        <v>0</v>
      </c>
      <c r="W339" s="4">
        <v>8404612.1992792804</v>
      </c>
      <c r="Y339" s="2">
        <v>180830.18018018018</v>
      </c>
      <c r="Z339" s="2">
        <v>132346.5</v>
      </c>
      <c r="AA339" s="3">
        <v>63.50460495199556</v>
      </c>
      <c r="AB339" s="6">
        <v>1.366338967635564</v>
      </c>
      <c r="AC339" s="3">
        <v>46.477928578652516</v>
      </c>
      <c r="AD339" s="4">
        <v>115116.69459459455</v>
      </c>
      <c r="AE339" s="5">
        <v>1.3696847857473559E-2</v>
      </c>
      <c r="AL339" s="7">
        <v>3.099927727416607</v>
      </c>
      <c r="AN339" s="7">
        <v>2.7522275889727803</v>
      </c>
      <c r="AO339" s="7">
        <v>2.4559508562750052</v>
      </c>
      <c r="AP339" s="7">
        <v>0.18633854991668231</v>
      </c>
      <c r="AQ339" s="7">
        <v>8.5729440324599171E-2</v>
      </c>
      <c r="AR339" s="7">
        <v>9.2664991714698663E-2</v>
      </c>
      <c r="AS339" s="7">
        <v>3.233363352519274</v>
      </c>
      <c r="AT339" s="8">
        <v>4.4577553003592209E-2</v>
      </c>
    </row>
    <row r="340" spans="1:46" x14ac:dyDescent="0.3">
      <c r="A340" t="str">
        <f t="shared" si="20"/>
        <v>202407 &amp; Segm SDC &gt; Les Eco-responsables</v>
      </c>
      <c r="B340">
        <v>202407</v>
      </c>
      <c r="C340" t="s">
        <v>59</v>
      </c>
      <c r="D340" t="s">
        <v>67</v>
      </c>
      <c r="E340" s="4">
        <v>0</v>
      </c>
      <c r="F340" s="4">
        <v>34458302.59400899</v>
      </c>
      <c r="H340" s="2">
        <v>678515.99099099089</v>
      </c>
      <c r="I340" s="2">
        <v>457383</v>
      </c>
      <c r="J340" s="3">
        <v>75.337960951782179</v>
      </c>
      <c r="K340" s="6">
        <v>1.4834744426246513</v>
      </c>
      <c r="L340" s="3">
        <v>50.784805445309708</v>
      </c>
      <c r="M340" s="53">
        <v>0.1199787641955708</v>
      </c>
      <c r="N340" s="53">
        <v>0.11237931566340013</v>
      </c>
      <c r="O340" s="4">
        <v>487330.79615991015</v>
      </c>
      <c r="P340" s="5">
        <v>1.4142623387509481E-2</v>
      </c>
      <c r="V340" s="4">
        <v>0</v>
      </c>
      <c r="W340" s="4">
        <v>8404612.1992792804</v>
      </c>
      <c r="Y340" s="2">
        <v>180830.18018018018</v>
      </c>
      <c r="Z340" s="2">
        <v>132346.5</v>
      </c>
      <c r="AA340" s="3">
        <v>63.50460495199556</v>
      </c>
      <c r="AB340" s="6">
        <v>1.366338967635564</v>
      </c>
      <c r="AC340" s="3">
        <v>46.477928578652516</v>
      </c>
      <c r="AD340" s="4">
        <v>115116.69459459455</v>
      </c>
      <c r="AE340" s="5">
        <v>1.3696847857473559E-2</v>
      </c>
      <c r="AL340" s="7">
        <v>3.099927727416607</v>
      </c>
      <c r="AN340" s="7">
        <v>2.7522275889727803</v>
      </c>
      <c r="AO340" s="7">
        <v>2.4559508562750052</v>
      </c>
      <c r="AP340" s="7">
        <v>0.18633854991668231</v>
      </c>
      <c r="AQ340" s="7">
        <v>8.5729440324599171E-2</v>
      </c>
      <c r="AR340" s="7">
        <v>9.2664991714698663E-2</v>
      </c>
      <c r="AS340" s="7">
        <v>3.233363352519274</v>
      </c>
      <c r="AT340" s="8">
        <v>4.4577553003592209E-2</v>
      </c>
    </row>
    <row r="341" spans="1:46" x14ac:dyDescent="0.3">
      <c r="A341" t="str">
        <f t="shared" si="20"/>
        <v>202406 &amp; Segm SDC &gt; Les Eco-responsables</v>
      </c>
      <c r="B341">
        <v>202406</v>
      </c>
      <c r="C341" t="s">
        <v>59</v>
      </c>
      <c r="D341" t="s">
        <v>67</v>
      </c>
      <c r="E341" s="4">
        <v>0</v>
      </c>
      <c r="F341" s="4">
        <v>10900981.760765763</v>
      </c>
      <c r="H341" s="2">
        <v>231362.16216216213</v>
      </c>
      <c r="I341" s="2">
        <v>170574</v>
      </c>
      <c r="J341" s="3">
        <v>63.907639855814857</v>
      </c>
      <c r="K341" s="6">
        <v>1.356374137688992</v>
      </c>
      <c r="L341" s="3">
        <v>47.116527866493776</v>
      </c>
      <c r="M341" s="53">
        <v>3.9231708477710549E-2</v>
      </c>
      <c r="N341" s="53">
        <v>4.2246043937876961E-2</v>
      </c>
      <c r="O341" s="4">
        <v>301180.69220720709</v>
      </c>
      <c r="P341" s="5">
        <v>2.7628767648359958E-2</v>
      </c>
      <c r="V341" s="4">
        <v>0</v>
      </c>
      <c r="W341" s="4">
        <v>34032518.683963962</v>
      </c>
      <c r="Y341" s="2">
        <v>654596.17117117113</v>
      </c>
      <c r="Z341" s="2">
        <v>449453.25</v>
      </c>
      <c r="AA341" s="3">
        <v>75.719818877634012</v>
      </c>
      <c r="AB341" s="6">
        <v>1.456427717835328</v>
      </c>
      <c r="AC341" s="3">
        <v>51.99009738030496</v>
      </c>
      <c r="AD341" s="4">
        <v>875918.56718468468</v>
      </c>
      <c r="AE341" s="5">
        <v>2.5737694448028477E-2</v>
      </c>
      <c r="AL341" s="7">
        <v>-0.67968924480742943</v>
      </c>
      <c r="AN341" s="7">
        <v>-0.64655741608109252</v>
      </c>
      <c r="AO341" s="7">
        <v>-0.62048555661795746</v>
      </c>
      <c r="AP341" s="7">
        <v>-0.15599851131324105</v>
      </c>
      <c r="AQ341" s="7">
        <v>-6.8697937371752671E-2</v>
      </c>
      <c r="AR341" s="7">
        <v>-9.3740342091711559E-2</v>
      </c>
      <c r="AS341" s="7">
        <v>-0.65615446059644489</v>
      </c>
      <c r="AT341" s="8">
        <v>0.18910732003314806</v>
      </c>
    </row>
    <row r="342" spans="1:46" x14ac:dyDescent="0.3">
      <c r="A342" t="str">
        <f t="shared" si="20"/>
        <v>202406 &amp; Segm SDC &gt; Les Eco-responsables</v>
      </c>
      <c r="B342">
        <v>202406</v>
      </c>
      <c r="C342" t="s">
        <v>59</v>
      </c>
      <c r="D342" t="s">
        <v>67</v>
      </c>
      <c r="E342" s="4">
        <v>0</v>
      </c>
      <c r="F342" s="4">
        <v>10900981.760765763</v>
      </c>
      <c r="H342" s="2">
        <v>231362.16216216213</v>
      </c>
      <c r="I342" s="2">
        <v>170574</v>
      </c>
      <c r="J342" s="3">
        <v>63.907639855814857</v>
      </c>
      <c r="K342" s="6">
        <v>1.356374137688992</v>
      </c>
      <c r="L342" s="3">
        <v>47.116527866493776</v>
      </c>
      <c r="M342" s="53">
        <v>3.9231708477710549E-2</v>
      </c>
      <c r="N342" s="53">
        <v>4.2246043937876961E-2</v>
      </c>
      <c r="O342" s="4">
        <v>301180.69220720709</v>
      </c>
      <c r="P342" s="5">
        <v>2.7628767648359958E-2</v>
      </c>
      <c r="V342" s="4">
        <v>0</v>
      </c>
      <c r="W342" s="4">
        <v>34032518.683963962</v>
      </c>
      <c r="Y342" s="2">
        <v>654596.17117117113</v>
      </c>
      <c r="Z342" s="2">
        <v>449453.25</v>
      </c>
      <c r="AA342" s="3">
        <v>75.719818877634012</v>
      </c>
      <c r="AB342" s="6">
        <v>1.456427717835328</v>
      </c>
      <c r="AC342" s="3">
        <v>51.99009738030496</v>
      </c>
      <c r="AD342" s="4">
        <v>875918.56718468468</v>
      </c>
      <c r="AE342" s="5">
        <v>2.5737694448028477E-2</v>
      </c>
      <c r="AL342" s="7">
        <v>-0.67968924480742943</v>
      </c>
      <c r="AN342" s="7">
        <v>-0.64655741608109252</v>
      </c>
      <c r="AO342" s="7">
        <v>-0.62048555661795746</v>
      </c>
      <c r="AP342" s="7">
        <v>-0.15599851131324105</v>
      </c>
      <c r="AQ342" s="7">
        <v>-6.8697937371752671E-2</v>
      </c>
      <c r="AR342" s="7">
        <v>-9.3740342091711559E-2</v>
      </c>
      <c r="AS342" s="7">
        <v>-0.65615446059644489</v>
      </c>
      <c r="AT342" s="8">
        <v>0.18910732003314806</v>
      </c>
    </row>
    <row r="343" spans="1:46" x14ac:dyDescent="0.3">
      <c r="A343" t="str">
        <f t="shared" si="20"/>
        <v>202406 &amp; Segm SDC &gt; Les Eco-responsables</v>
      </c>
      <c r="B343">
        <v>202406</v>
      </c>
      <c r="C343" t="s">
        <v>59</v>
      </c>
      <c r="D343" t="s">
        <v>67</v>
      </c>
      <c r="E343" s="4">
        <v>0</v>
      </c>
      <c r="F343" s="4">
        <v>10900981.760765763</v>
      </c>
      <c r="H343" s="2">
        <v>231362.16216216213</v>
      </c>
      <c r="I343" s="2">
        <v>170574</v>
      </c>
      <c r="J343" s="3">
        <v>63.907639855814857</v>
      </c>
      <c r="K343" s="6">
        <v>1.356374137688992</v>
      </c>
      <c r="L343" s="3">
        <v>47.116527866493776</v>
      </c>
      <c r="M343" s="53">
        <v>3.9231708477710549E-2</v>
      </c>
      <c r="N343" s="53">
        <v>4.2246043937876961E-2</v>
      </c>
      <c r="O343" s="4">
        <v>301180.69220720709</v>
      </c>
      <c r="P343" s="5">
        <v>2.7628767648359958E-2</v>
      </c>
      <c r="V343" s="4">
        <v>0</v>
      </c>
      <c r="W343" s="4">
        <v>34032518.683963962</v>
      </c>
      <c r="Y343" s="2">
        <v>654596.17117117113</v>
      </c>
      <c r="Z343" s="2">
        <v>449453.25</v>
      </c>
      <c r="AA343" s="3">
        <v>75.719818877634012</v>
      </c>
      <c r="AB343" s="6">
        <v>1.456427717835328</v>
      </c>
      <c r="AC343" s="3">
        <v>51.99009738030496</v>
      </c>
      <c r="AD343" s="4">
        <v>875918.56718468468</v>
      </c>
      <c r="AE343" s="5">
        <v>2.5737694448028477E-2</v>
      </c>
      <c r="AL343" s="7">
        <v>-0.67968924480742943</v>
      </c>
      <c r="AN343" s="7">
        <v>-0.64655741608109252</v>
      </c>
      <c r="AO343" s="7">
        <v>-0.62048555661795746</v>
      </c>
      <c r="AP343" s="7">
        <v>-0.15599851131324105</v>
      </c>
      <c r="AQ343" s="7">
        <v>-6.8697937371752671E-2</v>
      </c>
      <c r="AR343" s="7">
        <v>-9.3740342091711559E-2</v>
      </c>
      <c r="AS343" s="7">
        <v>-0.65615446059644489</v>
      </c>
      <c r="AT343" s="8">
        <v>0.18910732003314806</v>
      </c>
    </row>
    <row r="344" spans="1:46" x14ac:dyDescent="0.3">
      <c r="A344" t="str">
        <f t="shared" si="20"/>
        <v>202406 &amp; Segm SDC &gt; Les Eco-responsables</v>
      </c>
      <c r="B344">
        <v>202406</v>
      </c>
      <c r="C344" t="s">
        <v>59</v>
      </c>
      <c r="D344" t="s">
        <v>67</v>
      </c>
      <c r="E344" s="4">
        <v>0</v>
      </c>
      <c r="F344" s="4">
        <v>10900981.760765763</v>
      </c>
      <c r="H344" s="2">
        <v>231362.16216216213</v>
      </c>
      <c r="I344" s="2">
        <v>170574</v>
      </c>
      <c r="J344" s="3">
        <v>63.907639855814857</v>
      </c>
      <c r="K344" s="6">
        <v>1.356374137688992</v>
      </c>
      <c r="L344" s="3">
        <v>47.116527866493776</v>
      </c>
      <c r="M344" s="53">
        <v>3.9231708477710549E-2</v>
      </c>
      <c r="N344" s="53">
        <v>4.2246043937876961E-2</v>
      </c>
      <c r="O344" s="4">
        <v>301180.69220720709</v>
      </c>
      <c r="P344" s="5">
        <v>2.7628767648359958E-2</v>
      </c>
      <c r="V344" s="4">
        <v>0</v>
      </c>
      <c r="W344" s="4">
        <v>34032518.683963962</v>
      </c>
      <c r="Y344" s="2">
        <v>654596.17117117113</v>
      </c>
      <c r="Z344" s="2">
        <v>449453.25</v>
      </c>
      <c r="AA344" s="3">
        <v>75.719818877634012</v>
      </c>
      <c r="AB344" s="6">
        <v>1.456427717835328</v>
      </c>
      <c r="AC344" s="3">
        <v>51.99009738030496</v>
      </c>
      <c r="AD344" s="4">
        <v>875918.56718468468</v>
      </c>
      <c r="AE344" s="5">
        <v>2.5737694448028477E-2</v>
      </c>
      <c r="AL344" s="7">
        <v>-0.67968924480742943</v>
      </c>
      <c r="AN344" s="7">
        <v>-0.64655741608109252</v>
      </c>
      <c r="AO344" s="7">
        <v>-0.62048555661795746</v>
      </c>
      <c r="AP344" s="7">
        <v>-0.15599851131324105</v>
      </c>
      <c r="AQ344" s="7">
        <v>-6.8697937371752671E-2</v>
      </c>
      <c r="AR344" s="7">
        <v>-9.3740342091711559E-2</v>
      </c>
      <c r="AS344" s="7">
        <v>-0.65615446059644489</v>
      </c>
      <c r="AT344" s="8">
        <v>0.18910732003314806</v>
      </c>
    </row>
    <row r="345" spans="1:46" x14ac:dyDescent="0.3">
      <c r="A345" t="str">
        <f t="shared" si="20"/>
        <v>202409 &amp; Segm SDC &gt; Les Eco-responsables</v>
      </c>
      <c r="B345">
        <v>202409</v>
      </c>
      <c r="C345" t="s">
        <v>59</v>
      </c>
      <c r="D345" t="s">
        <v>67</v>
      </c>
      <c r="E345" s="4">
        <v>0</v>
      </c>
      <c r="F345" s="4">
        <v>31527480.206261266</v>
      </c>
      <c r="H345" s="2">
        <v>627012.16216216213</v>
      </c>
      <c r="I345" s="2">
        <v>446568.75</v>
      </c>
      <c r="J345" s="3">
        <v>70.59938745436456</v>
      </c>
      <c r="K345" s="6">
        <v>1.4040663664041924</v>
      </c>
      <c r="L345" s="3">
        <v>50.282087188776757</v>
      </c>
      <c r="M345" s="53">
        <v>0.11994274655906549</v>
      </c>
      <c r="N345" s="53">
        <v>0.11080539897759607</v>
      </c>
      <c r="O345" s="4">
        <v>1217416.2547448205</v>
      </c>
      <c r="P345" s="5">
        <v>3.8614448309225967E-2</v>
      </c>
      <c r="V345" s="4">
        <v>0</v>
      </c>
      <c r="W345" s="4">
        <v>32641066.279504508</v>
      </c>
      <c r="Y345" s="2">
        <v>643991.66666666663</v>
      </c>
      <c r="Z345" s="2">
        <v>448289.25</v>
      </c>
      <c r="AA345" s="3">
        <v>72.812511742149752</v>
      </c>
      <c r="AB345" s="6">
        <v>1.4365538916373004</v>
      </c>
      <c r="AC345" s="3">
        <v>50.685541395987798</v>
      </c>
      <c r="AD345" s="4">
        <v>1021101.8757177922</v>
      </c>
      <c r="AE345" s="5">
        <v>3.1282736506648597E-2</v>
      </c>
      <c r="AL345" s="7">
        <v>-3.4116105880476977E-2</v>
      </c>
      <c r="AN345" s="7">
        <v>-2.6366031399740364E-2</v>
      </c>
      <c r="AO345" s="7">
        <v>-3.8379238404668836E-3</v>
      </c>
      <c r="AP345" s="7">
        <v>-3.0394835102276252E-2</v>
      </c>
      <c r="AQ345" s="7">
        <v>-2.2614901830157352E-2</v>
      </c>
      <c r="AR345" s="7">
        <v>-7.9599466849726852E-3</v>
      </c>
      <c r="AS345" s="7">
        <v>0.19225738752955235</v>
      </c>
      <c r="AT345" s="8">
        <v>0.73317118025773698</v>
      </c>
    </row>
    <row r="346" spans="1:46" x14ac:dyDescent="0.3">
      <c r="A346" t="str">
        <f t="shared" si="20"/>
        <v>202409 &amp; Segm SDC &gt; Les Eco-responsables</v>
      </c>
      <c r="B346">
        <v>202409</v>
      </c>
      <c r="C346" t="s">
        <v>59</v>
      </c>
      <c r="D346" t="s">
        <v>67</v>
      </c>
      <c r="E346" s="4">
        <v>0</v>
      </c>
      <c r="F346" s="4">
        <v>31527480.206261266</v>
      </c>
      <c r="H346" s="2">
        <v>627012.16216216213</v>
      </c>
      <c r="I346" s="2">
        <v>446568.75</v>
      </c>
      <c r="J346" s="3">
        <v>70.59938745436456</v>
      </c>
      <c r="K346" s="6">
        <v>1.4040663664041924</v>
      </c>
      <c r="L346" s="3">
        <v>50.282087188776757</v>
      </c>
      <c r="M346" s="53">
        <v>0.11994274655906549</v>
      </c>
      <c r="N346" s="53">
        <v>0.11080539897759607</v>
      </c>
      <c r="O346" s="4">
        <v>1217416.2547448205</v>
      </c>
      <c r="P346" s="5">
        <v>3.8614448309225967E-2</v>
      </c>
      <c r="V346" s="4">
        <v>0</v>
      </c>
      <c r="W346" s="4">
        <v>32641066.279504508</v>
      </c>
      <c r="Y346" s="2">
        <v>643991.66666666663</v>
      </c>
      <c r="Z346" s="2">
        <v>448289.25</v>
      </c>
      <c r="AA346" s="3">
        <v>72.812511742149752</v>
      </c>
      <c r="AB346" s="6">
        <v>1.4365538916373004</v>
      </c>
      <c r="AC346" s="3">
        <v>50.685541395987798</v>
      </c>
      <c r="AD346" s="4">
        <v>1021101.8757177922</v>
      </c>
      <c r="AE346" s="5">
        <v>3.1282736506648597E-2</v>
      </c>
      <c r="AL346" s="7">
        <v>-3.4116105880476977E-2</v>
      </c>
      <c r="AN346" s="7">
        <v>-2.6366031399740364E-2</v>
      </c>
      <c r="AO346" s="7">
        <v>-3.8379238404668836E-3</v>
      </c>
      <c r="AP346" s="7">
        <v>-3.0394835102276252E-2</v>
      </c>
      <c r="AQ346" s="7">
        <v>-2.2614901830157352E-2</v>
      </c>
      <c r="AR346" s="7">
        <v>-7.9599466849726852E-3</v>
      </c>
      <c r="AS346" s="7">
        <v>0.19225738752955235</v>
      </c>
      <c r="AT346" s="8">
        <v>0.73317118025773698</v>
      </c>
    </row>
    <row r="347" spans="1:46" x14ac:dyDescent="0.3">
      <c r="A347" t="str">
        <f t="shared" si="20"/>
        <v>202409 &amp; Segm SDC &gt; Les Eco-responsables</v>
      </c>
      <c r="B347">
        <v>202409</v>
      </c>
      <c r="C347" t="s">
        <v>59</v>
      </c>
      <c r="D347" t="s">
        <v>67</v>
      </c>
      <c r="E347" s="4">
        <v>0</v>
      </c>
      <c r="F347" s="4">
        <v>31527480.206261266</v>
      </c>
      <c r="H347" s="2">
        <v>627012.16216216213</v>
      </c>
      <c r="I347" s="2">
        <v>446568.75</v>
      </c>
      <c r="J347" s="3">
        <v>70.59938745436456</v>
      </c>
      <c r="K347" s="6">
        <v>1.4040663664041924</v>
      </c>
      <c r="L347" s="3">
        <v>50.282087188776757</v>
      </c>
      <c r="M347" s="53">
        <v>0.11994274655906549</v>
      </c>
      <c r="N347" s="53">
        <v>0.11080539897759607</v>
      </c>
      <c r="O347" s="4">
        <v>1217416.2547448205</v>
      </c>
      <c r="P347" s="5">
        <v>3.8614448309225967E-2</v>
      </c>
      <c r="V347" s="4">
        <v>0</v>
      </c>
      <c r="W347" s="4">
        <v>32641066.279504508</v>
      </c>
      <c r="Y347" s="2">
        <v>643991.66666666663</v>
      </c>
      <c r="Z347" s="2">
        <v>448289.25</v>
      </c>
      <c r="AA347" s="3">
        <v>72.812511742149752</v>
      </c>
      <c r="AB347" s="6">
        <v>1.4365538916373004</v>
      </c>
      <c r="AC347" s="3">
        <v>50.685541395987798</v>
      </c>
      <c r="AD347" s="4">
        <v>1021101.8757177922</v>
      </c>
      <c r="AE347" s="5">
        <v>3.1282736506648597E-2</v>
      </c>
      <c r="AL347" s="7">
        <v>-3.4116105880476977E-2</v>
      </c>
      <c r="AN347" s="7">
        <v>-2.6366031399740364E-2</v>
      </c>
      <c r="AO347" s="7">
        <v>-3.8379238404668836E-3</v>
      </c>
      <c r="AP347" s="7">
        <v>-3.0394835102276252E-2</v>
      </c>
      <c r="AQ347" s="7">
        <v>-2.2614901830157352E-2</v>
      </c>
      <c r="AR347" s="7">
        <v>-7.9599466849726852E-3</v>
      </c>
      <c r="AS347" s="7">
        <v>0.19225738752955235</v>
      </c>
      <c r="AT347" s="8">
        <v>0.73317118025773698</v>
      </c>
    </row>
    <row r="348" spans="1:46" x14ac:dyDescent="0.3">
      <c r="A348" t="str">
        <f t="shared" si="20"/>
        <v>202409 &amp; Segm SDC &gt; Les Eco-responsables</v>
      </c>
      <c r="B348">
        <v>202409</v>
      </c>
      <c r="C348" t="s">
        <v>59</v>
      </c>
      <c r="D348" t="s">
        <v>67</v>
      </c>
      <c r="E348" s="4">
        <v>0</v>
      </c>
      <c r="F348" s="4">
        <v>31527480.206261266</v>
      </c>
      <c r="H348" s="2">
        <v>627012.16216216213</v>
      </c>
      <c r="I348" s="2">
        <v>446568.75</v>
      </c>
      <c r="J348" s="3">
        <v>70.59938745436456</v>
      </c>
      <c r="K348" s="6">
        <v>1.4040663664041924</v>
      </c>
      <c r="L348" s="3">
        <v>50.282087188776757</v>
      </c>
      <c r="M348" s="53">
        <v>0.11994274655906549</v>
      </c>
      <c r="N348" s="53">
        <v>0.11080539897759607</v>
      </c>
      <c r="O348" s="4">
        <v>1217416.2547448205</v>
      </c>
      <c r="P348" s="5">
        <v>3.8614448309225967E-2</v>
      </c>
      <c r="V348" s="4">
        <v>0</v>
      </c>
      <c r="W348" s="4">
        <v>32641066.279504508</v>
      </c>
      <c r="Y348" s="2">
        <v>643991.66666666663</v>
      </c>
      <c r="Z348" s="2">
        <v>448289.25</v>
      </c>
      <c r="AA348" s="3">
        <v>72.812511742149752</v>
      </c>
      <c r="AB348" s="6">
        <v>1.4365538916373004</v>
      </c>
      <c r="AC348" s="3">
        <v>50.685541395987798</v>
      </c>
      <c r="AD348" s="4">
        <v>1021101.8757177922</v>
      </c>
      <c r="AE348" s="5">
        <v>3.1282736506648597E-2</v>
      </c>
      <c r="AL348" s="7">
        <v>-3.4116105880476977E-2</v>
      </c>
      <c r="AN348" s="7">
        <v>-2.6366031399740364E-2</v>
      </c>
      <c r="AO348" s="7">
        <v>-3.8379238404668836E-3</v>
      </c>
      <c r="AP348" s="7">
        <v>-3.0394835102276252E-2</v>
      </c>
      <c r="AQ348" s="7">
        <v>-2.2614901830157352E-2</v>
      </c>
      <c r="AR348" s="7">
        <v>-7.9599466849726852E-3</v>
      </c>
      <c r="AS348" s="7">
        <v>0.19225738752955235</v>
      </c>
      <c r="AT348" s="8">
        <v>0.73317118025773698</v>
      </c>
    </row>
    <row r="349" spans="1:46" x14ac:dyDescent="0.3">
      <c r="A349" t="str">
        <f t="shared" si="20"/>
        <v>202406 &amp; Segm SDC &gt; Les Eco-responsables</v>
      </c>
      <c r="B349">
        <v>202406</v>
      </c>
      <c r="C349" t="s">
        <v>59</v>
      </c>
      <c r="D349" t="s">
        <v>67</v>
      </c>
      <c r="E349" s="4">
        <v>0</v>
      </c>
      <c r="F349" s="4">
        <v>33675182.390855849</v>
      </c>
      <c r="H349" s="2">
        <v>654042.79279279278</v>
      </c>
      <c r="I349" s="2">
        <v>454701</v>
      </c>
      <c r="J349" s="3">
        <v>74.060057908066725</v>
      </c>
      <c r="K349" s="6">
        <v>1.4384019230060914</v>
      </c>
      <c r="L349" s="3">
        <v>51.487735606811398</v>
      </c>
      <c r="M349" s="53">
        <v>0.12119412429867073</v>
      </c>
      <c r="N349" s="53">
        <v>0.11261574697548625</v>
      </c>
      <c r="O349" s="4">
        <v>1087952.6657207203</v>
      </c>
      <c r="P349" s="5">
        <v>3.2307253843297454E-2</v>
      </c>
      <c r="V349" s="4">
        <v>0</v>
      </c>
      <c r="W349" s="4">
        <v>34032518.683963962</v>
      </c>
      <c r="Y349" s="2">
        <v>654596.17117117113</v>
      </c>
      <c r="Z349" s="2">
        <v>449453.25</v>
      </c>
      <c r="AA349" s="3">
        <v>75.719818877634012</v>
      </c>
      <c r="AB349" s="6">
        <v>1.456427717835328</v>
      </c>
      <c r="AC349" s="3">
        <v>51.99009738030496</v>
      </c>
      <c r="AD349" s="4">
        <v>875918.56718468468</v>
      </c>
      <c r="AE349" s="5">
        <v>2.5737694448028477E-2</v>
      </c>
      <c r="AL349" s="7">
        <v>-1.0499848583833682E-2</v>
      </c>
      <c r="AN349" s="7">
        <v>-8.4537368647952249E-4</v>
      </c>
      <c r="AO349" s="7">
        <v>1.167585282785244E-2</v>
      </c>
      <c r="AP349" s="7">
        <v>-2.1919769410034151E-2</v>
      </c>
      <c r="AQ349" s="7">
        <v>-1.2376717779052027E-2</v>
      </c>
      <c r="AR349" s="7">
        <v>-9.6626434418618512E-3</v>
      </c>
      <c r="AS349" s="7">
        <v>0.24207056052886355</v>
      </c>
      <c r="AT349" s="8">
        <v>0.65695593952689768</v>
      </c>
    </row>
    <row r="350" spans="1:46" x14ac:dyDescent="0.3">
      <c r="A350" t="str">
        <f t="shared" si="20"/>
        <v>202406 &amp; Segm SDC &gt; Les Eco-responsables</v>
      </c>
      <c r="B350">
        <v>202406</v>
      </c>
      <c r="C350" t="s">
        <v>59</v>
      </c>
      <c r="D350" t="s">
        <v>67</v>
      </c>
      <c r="E350" s="4">
        <v>0</v>
      </c>
      <c r="F350" s="4">
        <v>33675182.390855849</v>
      </c>
      <c r="H350" s="2">
        <v>654042.79279279278</v>
      </c>
      <c r="I350" s="2">
        <v>454701</v>
      </c>
      <c r="J350" s="3">
        <v>74.060057908066725</v>
      </c>
      <c r="K350" s="6">
        <v>1.4384019230060914</v>
      </c>
      <c r="L350" s="3">
        <v>51.487735606811398</v>
      </c>
      <c r="M350" s="53">
        <v>0.12119412429867073</v>
      </c>
      <c r="N350" s="53">
        <v>0.11261574697548625</v>
      </c>
      <c r="O350" s="4">
        <v>1087952.6657207203</v>
      </c>
      <c r="P350" s="5">
        <v>3.2307253843297454E-2</v>
      </c>
      <c r="V350" s="4">
        <v>0</v>
      </c>
      <c r="W350" s="4">
        <v>34032518.683963962</v>
      </c>
      <c r="Y350" s="2">
        <v>654596.17117117113</v>
      </c>
      <c r="Z350" s="2">
        <v>449453.25</v>
      </c>
      <c r="AA350" s="3">
        <v>75.719818877634012</v>
      </c>
      <c r="AB350" s="6">
        <v>1.456427717835328</v>
      </c>
      <c r="AC350" s="3">
        <v>51.99009738030496</v>
      </c>
      <c r="AD350" s="4">
        <v>875918.56718468468</v>
      </c>
      <c r="AE350" s="5">
        <v>2.5737694448028477E-2</v>
      </c>
      <c r="AL350" s="7">
        <v>-1.0499848583833682E-2</v>
      </c>
      <c r="AN350" s="7">
        <v>-8.4537368647952249E-4</v>
      </c>
      <c r="AO350" s="7">
        <v>1.167585282785244E-2</v>
      </c>
      <c r="AP350" s="7">
        <v>-2.1919769410034151E-2</v>
      </c>
      <c r="AQ350" s="7">
        <v>-1.2376717779052027E-2</v>
      </c>
      <c r="AR350" s="7">
        <v>-9.6626434418618512E-3</v>
      </c>
      <c r="AS350" s="7">
        <v>0.24207056052886355</v>
      </c>
      <c r="AT350" s="8">
        <v>0.65695593952689768</v>
      </c>
    </row>
    <row r="351" spans="1:46" x14ac:dyDescent="0.3">
      <c r="A351" t="str">
        <f t="shared" si="20"/>
        <v>202406 &amp; Segm SDC &gt; Les Eco-responsables</v>
      </c>
      <c r="B351">
        <v>202406</v>
      </c>
      <c r="C351" t="s">
        <v>59</v>
      </c>
      <c r="D351" t="s">
        <v>67</v>
      </c>
      <c r="E351" s="4">
        <v>0</v>
      </c>
      <c r="F351" s="4">
        <v>33675182.390855849</v>
      </c>
      <c r="H351" s="2">
        <v>654042.79279279278</v>
      </c>
      <c r="I351" s="2">
        <v>454701</v>
      </c>
      <c r="J351" s="3">
        <v>74.060057908066725</v>
      </c>
      <c r="K351" s="6">
        <v>1.4384019230060914</v>
      </c>
      <c r="L351" s="3">
        <v>51.487735606811398</v>
      </c>
      <c r="M351" s="53">
        <v>0.12119412429867073</v>
      </c>
      <c r="N351" s="53">
        <v>0.11261574697548625</v>
      </c>
      <c r="O351" s="4">
        <v>1087952.6657207203</v>
      </c>
      <c r="P351" s="5">
        <v>3.2307253843297454E-2</v>
      </c>
      <c r="V351" s="4">
        <v>0</v>
      </c>
      <c r="W351" s="4">
        <v>34032518.683963962</v>
      </c>
      <c r="Y351" s="2">
        <v>654596.17117117113</v>
      </c>
      <c r="Z351" s="2">
        <v>449453.25</v>
      </c>
      <c r="AA351" s="3">
        <v>75.719818877634012</v>
      </c>
      <c r="AB351" s="6">
        <v>1.456427717835328</v>
      </c>
      <c r="AC351" s="3">
        <v>51.99009738030496</v>
      </c>
      <c r="AD351" s="4">
        <v>875918.56718468468</v>
      </c>
      <c r="AE351" s="5">
        <v>2.5737694448028477E-2</v>
      </c>
      <c r="AL351" s="7">
        <v>-1.0499848583833682E-2</v>
      </c>
      <c r="AN351" s="7">
        <v>-8.4537368647952249E-4</v>
      </c>
      <c r="AO351" s="7">
        <v>1.167585282785244E-2</v>
      </c>
      <c r="AP351" s="7">
        <v>-2.1919769410034151E-2</v>
      </c>
      <c r="AQ351" s="7">
        <v>-1.2376717779052027E-2</v>
      </c>
      <c r="AR351" s="7">
        <v>-9.6626434418618512E-3</v>
      </c>
      <c r="AS351" s="7">
        <v>0.24207056052886355</v>
      </c>
      <c r="AT351" s="8">
        <v>0.65695593952689768</v>
      </c>
    </row>
    <row r="352" spans="1:46" x14ac:dyDescent="0.3">
      <c r="A352" t="str">
        <f t="shared" si="20"/>
        <v>202406 &amp; Segm SDC &gt; Les Eco-responsables</v>
      </c>
      <c r="B352">
        <v>202406</v>
      </c>
      <c r="C352" t="s">
        <v>59</v>
      </c>
      <c r="D352" t="s">
        <v>67</v>
      </c>
      <c r="E352" s="4">
        <v>0</v>
      </c>
      <c r="F352" s="4">
        <v>33675182.390855849</v>
      </c>
      <c r="H352" s="2">
        <v>654042.79279279278</v>
      </c>
      <c r="I352" s="2">
        <v>454701</v>
      </c>
      <c r="J352" s="3">
        <v>74.060057908066725</v>
      </c>
      <c r="K352" s="6">
        <v>1.4384019230060914</v>
      </c>
      <c r="L352" s="3">
        <v>51.487735606811398</v>
      </c>
      <c r="M352" s="53">
        <v>0.12119412429867073</v>
      </c>
      <c r="N352" s="53">
        <v>0.11261574697548625</v>
      </c>
      <c r="O352" s="4">
        <v>1087952.6657207203</v>
      </c>
      <c r="P352" s="5">
        <v>3.2307253843297454E-2</v>
      </c>
      <c r="V352" s="4">
        <v>0</v>
      </c>
      <c r="W352" s="4">
        <v>34032518.683963962</v>
      </c>
      <c r="Y352" s="2">
        <v>654596.17117117113</v>
      </c>
      <c r="Z352" s="2">
        <v>449453.25</v>
      </c>
      <c r="AA352" s="3">
        <v>75.719818877634012</v>
      </c>
      <c r="AB352" s="6">
        <v>1.456427717835328</v>
      </c>
      <c r="AC352" s="3">
        <v>51.99009738030496</v>
      </c>
      <c r="AD352" s="4">
        <v>875918.56718468468</v>
      </c>
      <c r="AE352" s="5">
        <v>2.5737694448028477E-2</v>
      </c>
      <c r="AL352" s="7">
        <v>-1.0499848583833682E-2</v>
      </c>
      <c r="AN352" s="7">
        <v>-8.4537368647952249E-4</v>
      </c>
      <c r="AO352" s="7">
        <v>1.167585282785244E-2</v>
      </c>
      <c r="AP352" s="7">
        <v>-2.1919769410034151E-2</v>
      </c>
      <c r="AQ352" s="7">
        <v>-1.2376717779052027E-2</v>
      </c>
      <c r="AR352" s="7">
        <v>-9.6626434418618512E-3</v>
      </c>
      <c r="AS352" s="7">
        <v>0.24207056052886355</v>
      </c>
      <c r="AT352" s="8">
        <v>0.65695593952689768</v>
      </c>
    </row>
    <row r="353" spans="1:46" x14ac:dyDescent="0.3">
      <c r="A353" t="str">
        <f t="shared" si="20"/>
        <v>202409 &amp; Segm SDC &gt; Les Eco-responsables</v>
      </c>
      <c r="B353">
        <v>202409</v>
      </c>
      <c r="C353" t="s">
        <v>59</v>
      </c>
      <c r="D353" t="s">
        <v>67</v>
      </c>
      <c r="E353" s="4">
        <v>0</v>
      </c>
      <c r="F353" s="4">
        <v>31527480.206261266</v>
      </c>
      <c r="H353" s="2">
        <v>627012.16216216213</v>
      </c>
      <c r="I353" s="2">
        <v>446568.75</v>
      </c>
      <c r="J353" s="3">
        <v>70.59938745436456</v>
      </c>
      <c r="K353" s="6">
        <v>1.4040663664041924</v>
      </c>
      <c r="L353" s="3">
        <v>50.282087188776757</v>
      </c>
      <c r="M353" s="53">
        <v>0.11994274655906549</v>
      </c>
      <c r="N353" s="53">
        <v>0.11080539897759607</v>
      </c>
      <c r="O353" s="4">
        <v>1217416.2547448205</v>
      </c>
      <c r="P353" s="5">
        <v>3.8614448309225967E-2</v>
      </c>
      <c r="V353" s="4">
        <v>0</v>
      </c>
      <c r="W353" s="4">
        <v>8282193.9419819862</v>
      </c>
      <c r="Y353" s="2">
        <v>180651.12612612612</v>
      </c>
      <c r="Z353" s="2">
        <v>132428.25</v>
      </c>
      <c r="AA353" s="3">
        <v>62.540990626863874</v>
      </c>
      <c r="AB353" s="6">
        <v>1.3641434220124944</v>
      </c>
      <c r="AC353" s="3">
        <v>45.846345492469084</v>
      </c>
      <c r="AD353" s="4">
        <v>235111.96648648637</v>
      </c>
      <c r="AE353" s="5">
        <v>2.8387643193757722E-2</v>
      </c>
      <c r="AL353" s="7">
        <v>2.806658045816846</v>
      </c>
      <c r="AN353" s="7">
        <v>2.4708455773721436</v>
      </c>
      <c r="AO353" s="7">
        <v>2.3721562430976775</v>
      </c>
      <c r="AP353" s="7">
        <v>0.12884984306659319</v>
      </c>
      <c r="AQ353" s="7">
        <v>2.9265943556580298E-2</v>
      </c>
      <c r="AR353" s="7">
        <v>9.6752350676158283E-2</v>
      </c>
      <c r="AS353" s="7">
        <v>4.1780276135574512</v>
      </c>
      <c r="AT353" s="8">
        <v>1.0226805115468245</v>
      </c>
    </row>
    <row r="354" spans="1:46" x14ac:dyDescent="0.3">
      <c r="A354" t="str">
        <f t="shared" si="20"/>
        <v>202409 &amp; Segm SDC &gt; Les Eco-responsables</v>
      </c>
      <c r="B354">
        <v>202409</v>
      </c>
      <c r="C354" t="s">
        <v>59</v>
      </c>
      <c r="D354" t="s">
        <v>67</v>
      </c>
      <c r="E354" s="4">
        <v>0</v>
      </c>
      <c r="F354" s="4">
        <v>31527480.206261266</v>
      </c>
      <c r="H354" s="2">
        <v>627012.16216216213</v>
      </c>
      <c r="I354" s="2">
        <v>446568.75</v>
      </c>
      <c r="J354" s="3">
        <v>70.59938745436456</v>
      </c>
      <c r="K354" s="6">
        <v>1.4040663664041924</v>
      </c>
      <c r="L354" s="3">
        <v>50.282087188776757</v>
      </c>
      <c r="M354" s="53">
        <v>0.11994274655906549</v>
      </c>
      <c r="N354" s="53">
        <v>0.11080539897759607</v>
      </c>
      <c r="O354" s="4">
        <v>1217416.2547448205</v>
      </c>
      <c r="P354" s="5">
        <v>3.8614448309225967E-2</v>
      </c>
      <c r="V354" s="4">
        <v>0</v>
      </c>
      <c r="W354" s="4">
        <v>8282193.9419819862</v>
      </c>
      <c r="Y354" s="2">
        <v>180651.12612612612</v>
      </c>
      <c r="Z354" s="2">
        <v>132428.25</v>
      </c>
      <c r="AA354" s="3">
        <v>62.540990626863874</v>
      </c>
      <c r="AB354" s="6">
        <v>1.3641434220124944</v>
      </c>
      <c r="AC354" s="3">
        <v>45.846345492469084</v>
      </c>
      <c r="AD354" s="4">
        <v>235111.96648648637</v>
      </c>
      <c r="AE354" s="5">
        <v>2.8387643193757722E-2</v>
      </c>
      <c r="AL354" s="7">
        <v>2.806658045816846</v>
      </c>
      <c r="AN354" s="7">
        <v>2.4708455773721436</v>
      </c>
      <c r="AO354" s="7">
        <v>2.3721562430976775</v>
      </c>
      <c r="AP354" s="7">
        <v>0.12884984306659319</v>
      </c>
      <c r="AQ354" s="7">
        <v>2.9265943556580298E-2</v>
      </c>
      <c r="AR354" s="7">
        <v>9.6752350676158283E-2</v>
      </c>
      <c r="AS354" s="7">
        <v>4.1780276135574512</v>
      </c>
      <c r="AT354" s="8">
        <v>1.0226805115468245</v>
      </c>
    </row>
    <row r="355" spans="1:46" x14ac:dyDescent="0.3">
      <c r="A355" t="str">
        <f t="shared" si="20"/>
        <v>202409 &amp; Segm SDC &gt; Les Eco-responsables</v>
      </c>
      <c r="B355">
        <v>202409</v>
      </c>
      <c r="C355" t="s">
        <v>59</v>
      </c>
      <c r="D355" t="s">
        <v>67</v>
      </c>
      <c r="E355" s="4">
        <v>0</v>
      </c>
      <c r="F355" s="4">
        <v>31527480.206261266</v>
      </c>
      <c r="H355" s="2">
        <v>627012.16216216213</v>
      </c>
      <c r="I355" s="2">
        <v>446568.75</v>
      </c>
      <c r="J355" s="3">
        <v>70.59938745436456</v>
      </c>
      <c r="K355" s="6">
        <v>1.4040663664041924</v>
      </c>
      <c r="L355" s="3">
        <v>50.282087188776757</v>
      </c>
      <c r="M355" s="53">
        <v>0.11994274655906549</v>
      </c>
      <c r="N355" s="53">
        <v>0.11080539897759607</v>
      </c>
      <c r="O355" s="4">
        <v>1217416.2547448205</v>
      </c>
      <c r="P355" s="5">
        <v>3.8614448309225967E-2</v>
      </c>
      <c r="V355" s="4">
        <v>0</v>
      </c>
      <c r="W355" s="4">
        <v>8282193.9419819862</v>
      </c>
      <c r="Y355" s="2">
        <v>180651.12612612612</v>
      </c>
      <c r="Z355" s="2">
        <v>132428.25</v>
      </c>
      <c r="AA355" s="3">
        <v>62.540990626863874</v>
      </c>
      <c r="AB355" s="6">
        <v>1.3641434220124944</v>
      </c>
      <c r="AC355" s="3">
        <v>45.846345492469084</v>
      </c>
      <c r="AD355" s="4">
        <v>235111.96648648637</v>
      </c>
      <c r="AE355" s="5">
        <v>2.8387643193757722E-2</v>
      </c>
      <c r="AL355" s="7">
        <v>2.806658045816846</v>
      </c>
      <c r="AN355" s="7">
        <v>2.4708455773721436</v>
      </c>
      <c r="AO355" s="7">
        <v>2.3721562430976775</v>
      </c>
      <c r="AP355" s="7">
        <v>0.12884984306659319</v>
      </c>
      <c r="AQ355" s="7">
        <v>2.9265943556580298E-2</v>
      </c>
      <c r="AR355" s="7">
        <v>9.6752350676158283E-2</v>
      </c>
      <c r="AS355" s="7">
        <v>4.1780276135574512</v>
      </c>
      <c r="AT355" s="8">
        <v>1.0226805115468245</v>
      </c>
    </row>
    <row r="356" spans="1:46" x14ac:dyDescent="0.3">
      <c r="A356" t="str">
        <f t="shared" si="20"/>
        <v>202409 &amp; Segm SDC &gt; Les Eco-responsables</v>
      </c>
      <c r="B356">
        <v>202409</v>
      </c>
      <c r="C356" t="s">
        <v>59</v>
      </c>
      <c r="D356" t="s">
        <v>67</v>
      </c>
      <c r="E356" s="4">
        <v>0</v>
      </c>
      <c r="F356" s="4">
        <v>31527480.206261266</v>
      </c>
      <c r="H356" s="2">
        <v>627012.16216216213</v>
      </c>
      <c r="I356" s="2">
        <v>446568.75</v>
      </c>
      <c r="J356" s="3">
        <v>70.59938745436456</v>
      </c>
      <c r="K356" s="6">
        <v>1.4040663664041924</v>
      </c>
      <c r="L356" s="3">
        <v>50.282087188776757</v>
      </c>
      <c r="M356" s="53">
        <v>0.11994274655906549</v>
      </c>
      <c r="N356" s="53">
        <v>0.11080539897759607</v>
      </c>
      <c r="O356" s="4">
        <v>1217416.2547448205</v>
      </c>
      <c r="P356" s="5">
        <v>3.8614448309225967E-2</v>
      </c>
      <c r="V356" s="4">
        <v>0</v>
      </c>
      <c r="W356" s="4">
        <v>8282193.9419819862</v>
      </c>
      <c r="Y356" s="2">
        <v>180651.12612612612</v>
      </c>
      <c r="Z356" s="2">
        <v>132428.25</v>
      </c>
      <c r="AA356" s="3">
        <v>62.540990626863874</v>
      </c>
      <c r="AB356" s="6">
        <v>1.3641434220124944</v>
      </c>
      <c r="AC356" s="3">
        <v>45.846345492469084</v>
      </c>
      <c r="AD356" s="4">
        <v>235111.96648648637</v>
      </c>
      <c r="AE356" s="5">
        <v>2.8387643193757722E-2</v>
      </c>
      <c r="AL356" s="7">
        <v>2.806658045816846</v>
      </c>
      <c r="AN356" s="7">
        <v>2.4708455773721436</v>
      </c>
      <c r="AO356" s="7">
        <v>2.3721562430976775</v>
      </c>
      <c r="AP356" s="7">
        <v>0.12884984306659319</v>
      </c>
      <c r="AQ356" s="7">
        <v>2.9265943556580298E-2</v>
      </c>
      <c r="AR356" s="7">
        <v>9.6752350676158283E-2</v>
      </c>
      <c r="AS356" s="7">
        <v>4.1780276135574512</v>
      </c>
      <c r="AT356" s="8">
        <v>1.0226805115468245</v>
      </c>
    </row>
    <row r="357" spans="1:46" x14ac:dyDescent="0.3">
      <c r="A357" t="str">
        <f t="shared" si="20"/>
        <v>202408 &amp; Segm SDC &gt; Les Eco-responsables</v>
      </c>
      <c r="B357">
        <v>202408</v>
      </c>
      <c r="C357" t="s">
        <v>59</v>
      </c>
      <c r="D357" t="s">
        <v>67</v>
      </c>
      <c r="E357" s="4">
        <v>0</v>
      </c>
      <c r="F357" s="4">
        <v>11418436.340360362</v>
      </c>
      <c r="H357" s="2">
        <v>238631.53153153151</v>
      </c>
      <c r="I357" s="2">
        <v>169847.25</v>
      </c>
      <c r="J357" s="3">
        <v>67.227678636894993</v>
      </c>
      <c r="K357" s="6">
        <v>1.4049773047931686</v>
      </c>
      <c r="L357" s="3">
        <v>47.849654515801447</v>
      </c>
      <c r="M357" s="53">
        <v>3.8063945425425995E-2</v>
      </c>
      <c r="N357" s="53">
        <v>4.1450920406537979E-2</v>
      </c>
      <c r="O357" s="4">
        <v>280788.66693018022</v>
      </c>
      <c r="P357" s="5">
        <v>2.4590815989198624E-2</v>
      </c>
      <c r="V357" s="4">
        <v>0</v>
      </c>
      <c r="W357" s="4">
        <v>8332658.1240991009</v>
      </c>
      <c r="Y357" s="2">
        <v>180361.93693693692</v>
      </c>
      <c r="Z357" s="2">
        <v>131849.25</v>
      </c>
      <c r="AA357" s="3">
        <v>63.198373324831962</v>
      </c>
      <c r="AB357" s="6">
        <v>1.3679405604274346</v>
      </c>
      <c r="AC357" s="3">
        <v>46.199648693130818</v>
      </c>
      <c r="AD357" s="4">
        <v>204486.01200450456</v>
      </c>
      <c r="AE357" s="5">
        <v>2.4540309821796859E-2</v>
      </c>
      <c r="AL357" s="7">
        <v>0.37032339144417792</v>
      </c>
      <c r="AN357" s="7">
        <v>0.32307035278163143</v>
      </c>
      <c r="AO357" s="7">
        <v>0.28819276560162455</v>
      </c>
      <c r="AP357" s="7">
        <v>6.3756471885010324E-2</v>
      </c>
      <c r="AQ357" s="7">
        <v>2.7074819942586759E-2</v>
      </c>
      <c r="AR357" s="7">
        <v>3.5714683322169094E-2</v>
      </c>
      <c r="AS357" s="7">
        <v>0.37314364037768422</v>
      </c>
      <c r="AT357" s="8">
        <v>5.0506167401764834E-3</v>
      </c>
    </row>
    <row r="358" spans="1:46" x14ac:dyDescent="0.3">
      <c r="A358" t="str">
        <f t="shared" si="20"/>
        <v>202408 &amp; Segm SDC &gt; Les Eco-responsables</v>
      </c>
      <c r="B358">
        <v>202408</v>
      </c>
      <c r="C358" t="s">
        <v>59</v>
      </c>
      <c r="D358" t="s">
        <v>67</v>
      </c>
      <c r="E358" s="4">
        <v>0</v>
      </c>
      <c r="F358" s="4">
        <v>11418436.340360362</v>
      </c>
      <c r="H358" s="2">
        <v>238631.53153153151</v>
      </c>
      <c r="I358" s="2">
        <v>169847.25</v>
      </c>
      <c r="J358" s="3">
        <v>67.227678636894993</v>
      </c>
      <c r="K358" s="6">
        <v>1.4049773047931686</v>
      </c>
      <c r="L358" s="3">
        <v>47.849654515801447</v>
      </c>
      <c r="M358" s="53">
        <v>3.8063945425425995E-2</v>
      </c>
      <c r="N358" s="53">
        <v>4.1450920406537979E-2</v>
      </c>
      <c r="O358" s="4">
        <v>280788.66693018022</v>
      </c>
      <c r="P358" s="5">
        <v>2.4590815989198624E-2</v>
      </c>
      <c r="V358" s="4">
        <v>0</v>
      </c>
      <c r="W358" s="4">
        <v>8332658.1240991009</v>
      </c>
      <c r="Y358" s="2">
        <v>180361.93693693692</v>
      </c>
      <c r="Z358" s="2">
        <v>131849.25</v>
      </c>
      <c r="AA358" s="3">
        <v>63.198373324831962</v>
      </c>
      <c r="AB358" s="6">
        <v>1.3679405604274346</v>
      </c>
      <c r="AC358" s="3">
        <v>46.199648693130818</v>
      </c>
      <c r="AD358" s="4">
        <v>204486.01200450456</v>
      </c>
      <c r="AE358" s="5">
        <v>2.4540309821796859E-2</v>
      </c>
      <c r="AL358" s="7">
        <v>0.37032339144417792</v>
      </c>
      <c r="AN358" s="7">
        <v>0.32307035278163143</v>
      </c>
      <c r="AO358" s="7">
        <v>0.28819276560162455</v>
      </c>
      <c r="AP358" s="7">
        <v>6.3756471885010324E-2</v>
      </c>
      <c r="AQ358" s="7">
        <v>2.7074819942586759E-2</v>
      </c>
      <c r="AR358" s="7">
        <v>3.5714683322169094E-2</v>
      </c>
      <c r="AS358" s="7">
        <v>0.37314364037768422</v>
      </c>
      <c r="AT358" s="8">
        <v>5.0506167401764834E-3</v>
      </c>
    </row>
    <row r="359" spans="1:46" x14ac:dyDescent="0.3">
      <c r="A359" t="str">
        <f t="shared" si="20"/>
        <v>202408 &amp; Segm SDC &gt; Les Eco-responsables</v>
      </c>
      <c r="B359">
        <v>202408</v>
      </c>
      <c r="C359" t="s">
        <v>59</v>
      </c>
      <c r="D359" t="s">
        <v>67</v>
      </c>
      <c r="E359" s="4">
        <v>0</v>
      </c>
      <c r="F359" s="4">
        <v>11418436.340360362</v>
      </c>
      <c r="H359" s="2">
        <v>238631.53153153151</v>
      </c>
      <c r="I359" s="2">
        <v>169847.25</v>
      </c>
      <c r="J359" s="3">
        <v>67.227678636894993</v>
      </c>
      <c r="K359" s="6">
        <v>1.4049773047931686</v>
      </c>
      <c r="L359" s="3">
        <v>47.849654515801447</v>
      </c>
      <c r="M359" s="53">
        <v>3.8063945425425995E-2</v>
      </c>
      <c r="N359" s="53">
        <v>4.1450920406537979E-2</v>
      </c>
      <c r="O359" s="4">
        <v>280788.66693018022</v>
      </c>
      <c r="P359" s="5">
        <v>2.4590815989198624E-2</v>
      </c>
      <c r="V359" s="4">
        <v>0</v>
      </c>
      <c r="W359" s="4">
        <v>8332658.1240991009</v>
      </c>
      <c r="Y359" s="2">
        <v>180361.93693693692</v>
      </c>
      <c r="Z359" s="2">
        <v>131849.25</v>
      </c>
      <c r="AA359" s="3">
        <v>63.198373324831962</v>
      </c>
      <c r="AB359" s="6">
        <v>1.3679405604274346</v>
      </c>
      <c r="AC359" s="3">
        <v>46.199648693130818</v>
      </c>
      <c r="AD359" s="4">
        <v>204486.01200450456</v>
      </c>
      <c r="AE359" s="5">
        <v>2.4540309821796859E-2</v>
      </c>
      <c r="AL359" s="7">
        <v>0.37032339144417792</v>
      </c>
      <c r="AN359" s="7">
        <v>0.32307035278163143</v>
      </c>
      <c r="AO359" s="7">
        <v>0.28819276560162455</v>
      </c>
      <c r="AP359" s="7">
        <v>6.3756471885010324E-2</v>
      </c>
      <c r="AQ359" s="7">
        <v>2.7074819942586759E-2</v>
      </c>
      <c r="AR359" s="7">
        <v>3.5714683322169094E-2</v>
      </c>
      <c r="AS359" s="7">
        <v>0.37314364037768422</v>
      </c>
      <c r="AT359" s="8">
        <v>5.0506167401764834E-3</v>
      </c>
    </row>
    <row r="360" spans="1:46" x14ac:dyDescent="0.3">
      <c r="A360" t="str">
        <f t="shared" si="20"/>
        <v>202408 &amp; Segm SDC &gt; Les Eco-responsables</v>
      </c>
      <c r="B360">
        <v>202408</v>
      </c>
      <c r="C360" t="s">
        <v>59</v>
      </c>
      <c r="D360" t="s">
        <v>67</v>
      </c>
      <c r="E360" s="4">
        <v>0</v>
      </c>
      <c r="F360" s="4">
        <v>11418436.340360362</v>
      </c>
      <c r="H360" s="2">
        <v>238631.53153153151</v>
      </c>
      <c r="I360" s="2">
        <v>169847.25</v>
      </c>
      <c r="J360" s="3">
        <v>67.227678636894993</v>
      </c>
      <c r="K360" s="6">
        <v>1.4049773047931686</v>
      </c>
      <c r="L360" s="3">
        <v>47.849654515801447</v>
      </c>
      <c r="M360" s="53">
        <v>3.8063945425425995E-2</v>
      </c>
      <c r="N360" s="53">
        <v>4.1450920406537979E-2</v>
      </c>
      <c r="O360" s="4">
        <v>280788.66693018022</v>
      </c>
      <c r="P360" s="5">
        <v>2.4590815989198624E-2</v>
      </c>
      <c r="V360" s="4">
        <v>0</v>
      </c>
      <c r="W360" s="4">
        <v>8332658.1240991009</v>
      </c>
      <c r="Y360" s="2">
        <v>180361.93693693692</v>
      </c>
      <c r="Z360" s="2">
        <v>131849.25</v>
      </c>
      <c r="AA360" s="3">
        <v>63.198373324831962</v>
      </c>
      <c r="AB360" s="6">
        <v>1.3679405604274346</v>
      </c>
      <c r="AC360" s="3">
        <v>46.199648693130818</v>
      </c>
      <c r="AD360" s="4">
        <v>204486.01200450456</v>
      </c>
      <c r="AE360" s="5">
        <v>2.4540309821796859E-2</v>
      </c>
      <c r="AL360" s="7">
        <v>0.37032339144417792</v>
      </c>
      <c r="AN360" s="7">
        <v>0.32307035278163143</v>
      </c>
      <c r="AO360" s="7">
        <v>0.28819276560162455</v>
      </c>
      <c r="AP360" s="7">
        <v>6.3756471885010324E-2</v>
      </c>
      <c r="AQ360" s="7">
        <v>2.7074819942586759E-2</v>
      </c>
      <c r="AR360" s="7">
        <v>3.5714683322169094E-2</v>
      </c>
      <c r="AS360" s="7">
        <v>0.37314364037768422</v>
      </c>
      <c r="AT360" s="8">
        <v>5.0506167401764834E-3</v>
      </c>
    </row>
    <row r="361" spans="1:46" x14ac:dyDescent="0.3">
      <c r="A361" t="str">
        <f t="shared" si="20"/>
        <v>202312 &amp; Segm SDC &gt; Les Eco-responsables</v>
      </c>
      <c r="B361">
        <v>202312</v>
      </c>
      <c r="C361" t="s">
        <v>59</v>
      </c>
      <c r="D361" t="s">
        <v>67</v>
      </c>
      <c r="E361" s="4">
        <v>0</v>
      </c>
      <c r="F361" s="4">
        <v>40120704.161666669</v>
      </c>
      <c r="H361" s="2">
        <v>729314.18918918911</v>
      </c>
      <c r="I361" s="2">
        <v>463236.75</v>
      </c>
      <c r="J361" s="3">
        <v>86.609501861988861</v>
      </c>
      <c r="K361" s="6">
        <v>1.5743875873172608</v>
      </c>
      <c r="L361" s="3">
        <v>55.011550243209491</v>
      </c>
      <c r="M361" s="53">
        <v>0.11787032145766588</v>
      </c>
      <c r="N361" s="53">
        <v>0.11289607366323082</v>
      </c>
      <c r="O361" s="4">
        <v>1484406.4127477473</v>
      </c>
      <c r="P361" s="5">
        <v>3.6998513454956347E-2</v>
      </c>
      <c r="V361" s="4">
        <v>0</v>
      </c>
      <c r="W361" s="4">
        <v>37963997.974639662</v>
      </c>
      <c r="Y361" s="2">
        <v>702676.80180180178</v>
      </c>
      <c r="Z361" s="2">
        <v>455401.5</v>
      </c>
      <c r="AA361" s="3">
        <v>83.363796506247041</v>
      </c>
      <c r="AB361" s="6">
        <v>1.5429830639596087</v>
      </c>
      <c r="AC361" s="3">
        <v>54.027680830351152</v>
      </c>
      <c r="AD361" s="4">
        <v>1185522.0594819817</v>
      </c>
      <c r="AE361" s="5">
        <v>3.122753457825813E-2</v>
      </c>
      <c r="AL361" s="7">
        <v>5.6809248290122349E-2</v>
      </c>
      <c r="AN361" s="7">
        <v>3.7908448548584328E-2</v>
      </c>
      <c r="AO361" s="7">
        <v>1.7205147545627408E-2</v>
      </c>
      <c r="AP361" s="7">
        <v>3.8934231546167597E-2</v>
      </c>
      <c r="AQ361" s="7">
        <v>2.035312252686805E-2</v>
      </c>
      <c r="AR361" s="7">
        <v>1.821046911022739E-2</v>
      </c>
      <c r="AS361" s="7">
        <v>0.25211201333222277</v>
      </c>
      <c r="AT361" s="8">
        <v>0.57709788766982173</v>
      </c>
    </row>
    <row r="362" spans="1:46" x14ac:dyDescent="0.3">
      <c r="A362" t="str">
        <f t="shared" si="20"/>
        <v>202312 &amp; Segm SDC &gt; Les Eco-responsables</v>
      </c>
      <c r="B362">
        <v>202312</v>
      </c>
      <c r="C362" t="s">
        <v>59</v>
      </c>
      <c r="D362" t="s">
        <v>67</v>
      </c>
      <c r="E362" s="4">
        <v>0</v>
      </c>
      <c r="F362" s="4">
        <v>40120704.161666669</v>
      </c>
      <c r="H362" s="2">
        <v>729314.18918918911</v>
      </c>
      <c r="I362" s="2">
        <v>463236.75</v>
      </c>
      <c r="J362" s="3">
        <v>86.609501861988861</v>
      </c>
      <c r="K362" s="6">
        <v>1.5743875873172608</v>
      </c>
      <c r="L362" s="3">
        <v>55.011550243209491</v>
      </c>
      <c r="M362" s="53">
        <v>0.11787032145766588</v>
      </c>
      <c r="N362" s="53">
        <v>0.11289607366323082</v>
      </c>
      <c r="O362" s="4">
        <v>1484406.4127477473</v>
      </c>
      <c r="P362" s="5">
        <v>3.6998513454956347E-2</v>
      </c>
      <c r="V362" s="4">
        <v>0</v>
      </c>
      <c r="W362" s="4">
        <v>37963997.974639662</v>
      </c>
      <c r="Y362" s="2">
        <v>702676.80180180178</v>
      </c>
      <c r="Z362" s="2">
        <v>455401.5</v>
      </c>
      <c r="AA362" s="3">
        <v>83.363796506247041</v>
      </c>
      <c r="AB362" s="6">
        <v>1.5429830639596087</v>
      </c>
      <c r="AC362" s="3">
        <v>54.027680830351152</v>
      </c>
      <c r="AD362" s="4">
        <v>1185522.0594819817</v>
      </c>
      <c r="AE362" s="5">
        <v>3.122753457825813E-2</v>
      </c>
      <c r="AL362" s="7">
        <v>5.6809248290122349E-2</v>
      </c>
      <c r="AN362" s="7">
        <v>3.7908448548584328E-2</v>
      </c>
      <c r="AO362" s="7">
        <v>1.7205147545627408E-2</v>
      </c>
      <c r="AP362" s="7">
        <v>3.8934231546167597E-2</v>
      </c>
      <c r="AQ362" s="7">
        <v>2.035312252686805E-2</v>
      </c>
      <c r="AR362" s="7">
        <v>1.821046911022739E-2</v>
      </c>
      <c r="AS362" s="7">
        <v>0.25211201333222277</v>
      </c>
      <c r="AT362" s="8">
        <v>0.57709788766982173</v>
      </c>
    </row>
    <row r="363" spans="1:46" x14ac:dyDescent="0.3">
      <c r="A363" t="str">
        <f t="shared" si="20"/>
        <v>202312 &amp; Segm SDC &gt; Les Eco-responsables</v>
      </c>
      <c r="B363">
        <v>202312</v>
      </c>
      <c r="C363" t="s">
        <v>59</v>
      </c>
      <c r="D363" t="s">
        <v>67</v>
      </c>
      <c r="E363" s="4">
        <v>0</v>
      </c>
      <c r="F363" s="4">
        <v>40120704.161666669</v>
      </c>
      <c r="H363" s="2">
        <v>729314.18918918911</v>
      </c>
      <c r="I363" s="2">
        <v>463236.75</v>
      </c>
      <c r="J363" s="3">
        <v>86.609501861988861</v>
      </c>
      <c r="K363" s="6">
        <v>1.5743875873172608</v>
      </c>
      <c r="L363" s="3">
        <v>55.011550243209491</v>
      </c>
      <c r="M363" s="53">
        <v>0.11787032145766588</v>
      </c>
      <c r="N363" s="53">
        <v>0.11289607366323082</v>
      </c>
      <c r="O363" s="4">
        <v>1484406.4127477473</v>
      </c>
      <c r="P363" s="5">
        <v>3.6998513454956347E-2</v>
      </c>
      <c r="V363" s="4">
        <v>0</v>
      </c>
      <c r="W363" s="4">
        <v>37963997.974639662</v>
      </c>
      <c r="Y363" s="2">
        <v>702676.80180180178</v>
      </c>
      <c r="Z363" s="2">
        <v>455401.5</v>
      </c>
      <c r="AA363" s="3">
        <v>83.363796506247041</v>
      </c>
      <c r="AB363" s="6">
        <v>1.5429830639596087</v>
      </c>
      <c r="AC363" s="3">
        <v>54.027680830351152</v>
      </c>
      <c r="AD363" s="4">
        <v>1185522.0594819817</v>
      </c>
      <c r="AE363" s="5">
        <v>3.122753457825813E-2</v>
      </c>
      <c r="AL363" s="7">
        <v>5.6809248290122349E-2</v>
      </c>
      <c r="AN363" s="7">
        <v>3.7908448548584328E-2</v>
      </c>
      <c r="AO363" s="7">
        <v>1.7205147545627408E-2</v>
      </c>
      <c r="AP363" s="7">
        <v>3.8934231546167597E-2</v>
      </c>
      <c r="AQ363" s="7">
        <v>2.035312252686805E-2</v>
      </c>
      <c r="AR363" s="7">
        <v>1.821046911022739E-2</v>
      </c>
      <c r="AS363" s="7">
        <v>0.25211201333222277</v>
      </c>
      <c r="AT363" s="8">
        <v>0.57709788766982173</v>
      </c>
    </row>
    <row r="364" spans="1:46" x14ac:dyDescent="0.3">
      <c r="A364" t="str">
        <f t="shared" si="20"/>
        <v>202312 &amp; Segm SDC &gt; Les Eco-responsables</v>
      </c>
      <c r="B364">
        <v>202312</v>
      </c>
      <c r="C364" t="s">
        <v>59</v>
      </c>
      <c r="D364" t="s">
        <v>67</v>
      </c>
      <c r="E364" s="4">
        <v>0</v>
      </c>
      <c r="F364" s="4">
        <v>40120704.161666669</v>
      </c>
      <c r="H364" s="2">
        <v>729314.18918918911</v>
      </c>
      <c r="I364" s="2">
        <v>463236.75</v>
      </c>
      <c r="J364" s="3">
        <v>86.609501861988861</v>
      </c>
      <c r="K364" s="6">
        <v>1.5743875873172608</v>
      </c>
      <c r="L364" s="3">
        <v>55.011550243209491</v>
      </c>
      <c r="M364" s="53">
        <v>0.11787032145766588</v>
      </c>
      <c r="N364" s="53">
        <v>0.11289607366323082</v>
      </c>
      <c r="O364" s="4">
        <v>1484406.4127477473</v>
      </c>
      <c r="P364" s="5">
        <v>3.6998513454956347E-2</v>
      </c>
      <c r="V364" s="4">
        <v>0</v>
      </c>
      <c r="W364" s="4">
        <v>37963997.974639662</v>
      </c>
      <c r="Y364" s="2">
        <v>702676.80180180178</v>
      </c>
      <c r="Z364" s="2">
        <v>455401.5</v>
      </c>
      <c r="AA364" s="3">
        <v>83.363796506247041</v>
      </c>
      <c r="AB364" s="6">
        <v>1.5429830639596087</v>
      </c>
      <c r="AC364" s="3">
        <v>54.027680830351152</v>
      </c>
      <c r="AD364" s="4">
        <v>1185522.0594819817</v>
      </c>
      <c r="AE364" s="5">
        <v>3.122753457825813E-2</v>
      </c>
      <c r="AL364" s="7">
        <v>5.6809248290122349E-2</v>
      </c>
      <c r="AN364" s="7">
        <v>3.7908448548584328E-2</v>
      </c>
      <c r="AO364" s="7">
        <v>1.7205147545627408E-2</v>
      </c>
      <c r="AP364" s="7">
        <v>3.8934231546167597E-2</v>
      </c>
      <c r="AQ364" s="7">
        <v>2.035312252686805E-2</v>
      </c>
      <c r="AR364" s="7">
        <v>1.821046911022739E-2</v>
      </c>
      <c r="AS364" s="7">
        <v>0.25211201333222277</v>
      </c>
      <c r="AT364" s="8">
        <v>0.57709788766982173</v>
      </c>
    </row>
    <row r="365" spans="1:46" x14ac:dyDescent="0.3">
      <c r="A365" t="str">
        <f t="shared" si="20"/>
        <v>202412 &amp; Segm SDC &gt; Les Eco-responsables</v>
      </c>
      <c r="B365">
        <v>202412</v>
      </c>
      <c r="C365" t="s">
        <v>59</v>
      </c>
      <c r="D365" t="s">
        <v>67</v>
      </c>
      <c r="E365" s="4">
        <v>0</v>
      </c>
      <c r="F365" s="4">
        <v>43754276.390045032</v>
      </c>
      <c r="H365" s="2">
        <v>817924.99999999988</v>
      </c>
      <c r="I365" s="2">
        <v>521979.75</v>
      </c>
      <c r="J365" s="3">
        <v>83.823704636137762</v>
      </c>
      <c r="K365" s="6">
        <v>1.5669669177779404</v>
      </c>
      <c r="L365" s="3">
        <v>53.494240168774688</v>
      </c>
      <c r="M365" s="53">
        <v>0.12912145859134203</v>
      </c>
      <c r="N365" s="53">
        <v>0.12260490569009246</v>
      </c>
      <c r="O365" s="4">
        <v>1299284.3349774778</v>
      </c>
      <c r="P365" s="5">
        <v>2.9695025084978684E-2</v>
      </c>
      <c r="V365" s="4">
        <v>0</v>
      </c>
      <c r="W365" s="4">
        <v>10295289.864054047</v>
      </c>
      <c r="Y365" s="2">
        <v>204848.19819819817</v>
      </c>
      <c r="Z365" s="2">
        <v>137565.75</v>
      </c>
      <c r="AA365" s="3">
        <v>74.839048702558927</v>
      </c>
      <c r="AB365" s="6">
        <v>1.4890930205970465</v>
      </c>
      <c r="AC365" s="3">
        <v>50.258142149207359</v>
      </c>
      <c r="AD365" s="4">
        <v>369646.06299549539</v>
      </c>
      <c r="AE365" s="5">
        <v>3.5904386168485916E-2</v>
      </c>
      <c r="AL365" s="7">
        <v>3.2499314703914139</v>
      </c>
      <c r="AN365" s="7">
        <v>2.9928347292985578</v>
      </c>
      <c r="AO365" s="7">
        <v>2.7944019496131851</v>
      </c>
      <c r="AP365" s="7">
        <v>0.12005304836633535</v>
      </c>
      <c r="AQ365" s="7">
        <v>5.2296193792964463E-2</v>
      </c>
      <c r="AR365" s="7">
        <v>6.4389527371703004E-2</v>
      </c>
      <c r="AS365" s="7">
        <v>2.5149416294292068</v>
      </c>
      <c r="AT365" s="8">
        <v>-0.62093610835072321</v>
      </c>
    </row>
    <row r="366" spans="1:46" x14ac:dyDescent="0.3">
      <c r="A366" t="str">
        <f t="shared" si="20"/>
        <v>202412 &amp; Segm SDC &gt; Les Eco-responsables</v>
      </c>
      <c r="B366">
        <v>202412</v>
      </c>
      <c r="C366" t="s">
        <v>59</v>
      </c>
      <c r="D366" t="s">
        <v>67</v>
      </c>
      <c r="E366" s="4">
        <v>0</v>
      </c>
      <c r="F366" s="4">
        <v>43754276.390045032</v>
      </c>
      <c r="H366" s="2">
        <v>817924.99999999988</v>
      </c>
      <c r="I366" s="2">
        <v>521979.75</v>
      </c>
      <c r="J366" s="3">
        <v>83.823704636137762</v>
      </c>
      <c r="K366" s="6">
        <v>1.5669669177779404</v>
      </c>
      <c r="L366" s="3">
        <v>53.494240168774688</v>
      </c>
      <c r="M366" s="53">
        <v>0.12912145859134203</v>
      </c>
      <c r="N366" s="53">
        <v>0.12260490569009246</v>
      </c>
      <c r="O366" s="4">
        <v>1299284.3349774778</v>
      </c>
      <c r="P366" s="5">
        <v>2.9695025084978684E-2</v>
      </c>
      <c r="V366" s="4">
        <v>0</v>
      </c>
      <c r="W366" s="4">
        <v>10295289.864054047</v>
      </c>
      <c r="Y366" s="2">
        <v>204848.19819819817</v>
      </c>
      <c r="Z366" s="2">
        <v>137565.75</v>
      </c>
      <c r="AA366" s="3">
        <v>74.839048702558927</v>
      </c>
      <c r="AB366" s="6">
        <v>1.4890930205970465</v>
      </c>
      <c r="AC366" s="3">
        <v>50.258142149207359</v>
      </c>
      <c r="AD366" s="4">
        <v>369646.06299549539</v>
      </c>
      <c r="AE366" s="5">
        <v>3.5904386168485916E-2</v>
      </c>
      <c r="AL366" s="7">
        <v>3.2499314703914139</v>
      </c>
      <c r="AN366" s="7">
        <v>2.9928347292985578</v>
      </c>
      <c r="AO366" s="7">
        <v>2.7944019496131851</v>
      </c>
      <c r="AP366" s="7">
        <v>0.12005304836633535</v>
      </c>
      <c r="AQ366" s="7">
        <v>5.2296193792964463E-2</v>
      </c>
      <c r="AR366" s="7">
        <v>6.4389527371703004E-2</v>
      </c>
      <c r="AS366" s="7">
        <v>2.5149416294292068</v>
      </c>
      <c r="AT366" s="8">
        <v>-0.62093610835072321</v>
      </c>
    </row>
    <row r="367" spans="1:46" x14ac:dyDescent="0.3">
      <c r="A367" t="str">
        <f t="shared" si="20"/>
        <v>202412 &amp; Segm SDC &gt; Les Eco-responsables</v>
      </c>
      <c r="B367">
        <v>202412</v>
      </c>
      <c r="C367" t="s">
        <v>59</v>
      </c>
      <c r="D367" t="s">
        <v>67</v>
      </c>
      <c r="E367" s="4">
        <v>0</v>
      </c>
      <c r="F367" s="4">
        <v>43754276.390045032</v>
      </c>
      <c r="H367" s="2">
        <v>817924.99999999988</v>
      </c>
      <c r="I367" s="2">
        <v>521979.75</v>
      </c>
      <c r="J367" s="3">
        <v>83.823704636137762</v>
      </c>
      <c r="K367" s="6">
        <v>1.5669669177779404</v>
      </c>
      <c r="L367" s="3">
        <v>53.494240168774688</v>
      </c>
      <c r="M367" s="53">
        <v>0.12912145859134203</v>
      </c>
      <c r="N367" s="53">
        <v>0.12260490569009246</v>
      </c>
      <c r="O367" s="4">
        <v>1299284.3349774778</v>
      </c>
      <c r="P367" s="5">
        <v>2.9695025084978684E-2</v>
      </c>
      <c r="V367" s="4">
        <v>0</v>
      </c>
      <c r="W367" s="4">
        <v>10295289.864054047</v>
      </c>
      <c r="Y367" s="2">
        <v>204848.19819819817</v>
      </c>
      <c r="Z367" s="2">
        <v>137565.75</v>
      </c>
      <c r="AA367" s="3">
        <v>74.839048702558927</v>
      </c>
      <c r="AB367" s="6">
        <v>1.4890930205970465</v>
      </c>
      <c r="AC367" s="3">
        <v>50.258142149207359</v>
      </c>
      <c r="AD367" s="4">
        <v>369646.06299549539</v>
      </c>
      <c r="AE367" s="5">
        <v>3.5904386168485916E-2</v>
      </c>
      <c r="AL367" s="7">
        <v>3.2499314703914139</v>
      </c>
      <c r="AN367" s="7">
        <v>2.9928347292985578</v>
      </c>
      <c r="AO367" s="7">
        <v>2.7944019496131851</v>
      </c>
      <c r="AP367" s="7">
        <v>0.12005304836633535</v>
      </c>
      <c r="AQ367" s="7">
        <v>5.2296193792964463E-2</v>
      </c>
      <c r="AR367" s="7">
        <v>6.4389527371703004E-2</v>
      </c>
      <c r="AS367" s="7">
        <v>2.5149416294292068</v>
      </c>
      <c r="AT367" s="8">
        <v>-0.62093610835072321</v>
      </c>
    </row>
    <row r="368" spans="1:46" x14ac:dyDescent="0.3">
      <c r="A368" t="str">
        <f t="shared" si="20"/>
        <v>202412 &amp; Segm SDC &gt; Les Eco-responsables</v>
      </c>
      <c r="B368">
        <v>202412</v>
      </c>
      <c r="C368" t="s">
        <v>59</v>
      </c>
      <c r="D368" t="s">
        <v>67</v>
      </c>
      <c r="E368" s="4">
        <v>0</v>
      </c>
      <c r="F368" s="4">
        <v>43754276.390045032</v>
      </c>
      <c r="H368" s="2">
        <v>817924.99999999988</v>
      </c>
      <c r="I368" s="2">
        <v>521979.75</v>
      </c>
      <c r="J368" s="3">
        <v>83.823704636137762</v>
      </c>
      <c r="K368" s="6">
        <v>1.5669669177779404</v>
      </c>
      <c r="L368" s="3">
        <v>53.494240168774688</v>
      </c>
      <c r="M368" s="53">
        <v>0.12912145859134203</v>
      </c>
      <c r="N368" s="53">
        <v>0.12260490569009246</v>
      </c>
      <c r="O368" s="4">
        <v>1299284.3349774778</v>
      </c>
      <c r="P368" s="5">
        <v>2.9695025084978684E-2</v>
      </c>
      <c r="V368" s="4">
        <v>0</v>
      </c>
      <c r="W368" s="4">
        <v>10295289.864054047</v>
      </c>
      <c r="Y368" s="2">
        <v>204848.19819819817</v>
      </c>
      <c r="Z368" s="2">
        <v>137565.75</v>
      </c>
      <c r="AA368" s="3">
        <v>74.839048702558927</v>
      </c>
      <c r="AB368" s="6">
        <v>1.4890930205970465</v>
      </c>
      <c r="AC368" s="3">
        <v>50.258142149207359</v>
      </c>
      <c r="AD368" s="4">
        <v>369646.06299549539</v>
      </c>
      <c r="AE368" s="5">
        <v>3.5904386168485916E-2</v>
      </c>
      <c r="AL368" s="7">
        <v>3.2499314703914139</v>
      </c>
      <c r="AN368" s="7">
        <v>2.9928347292985578</v>
      </c>
      <c r="AO368" s="7">
        <v>2.7944019496131851</v>
      </c>
      <c r="AP368" s="7">
        <v>0.12005304836633535</v>
      </c>
      <c r="AQ368" s="7">
        <v>5.2296193792964463E-2</v>
      </c>
      <c r="AR368" s="7">
        <v>6.4389527371703004E-2</v>
      </c>
      <c r="AS368" s="7">
        <v>2.5149416294292068</v>
      </c>
      <c r="AT368" s="8">
        <v>-0.62093610835072321</v>
      </c>
    </row>
    <row r="369" spans="1:46" x14ac:dyDescent="0.3">
      <c r="A369" t="str">
        <f t="shared" si="20"/>
        <v>202403 &amp; Segm SDC &gt; Les Eco-responsables</v>
      </c>
      <c r="B369">
        <v>202403</v>
      </c>
      <c r="C369" t="s">
        <v>59</v>
      </c>
      <c r="D369" t="s">
        <v>67</v>
      </c>
      <c r="E369" s="4">
        <v>0</v>
      </c>
      <c r="F369" s="4">
        <v>11441289.546486489</v>
      </c>
      <c r="H369" s="2">
        <v>245434.00900900899</v>
      </c>
      <c r="I369" s="2">
        <v>174660.75</v>
      </c>
      <c r="J369" s="3">
        <v>65.505785051801794</v>
      </c>
      <c r="K369" s="6">
        <v>1.4052041400773156</v>
      </c>
      <c r="L369" s="3">
        <v>46.616561383172133</v>
      </c>
      <c r="M369" s="53">
        <v>3.9719528793219917E-2</v>
      </c>
      <c r="N369" s="53">
        <v>4.311908429737376E-2</v>
      </c>
      <c r="O369" s="4">
        <v>288364.92518018006</v>
      </c>
      <c r="P369" s="5">
        <v>2.5203883181921058E-2</v>
      </c>
      <c r="V369" s="4">
        <v>0</v>
      </c>
      <c r="W369" s="4">
        <v>32636211.044909913</v>
      </c>
      <c r="Y369" s="2">
        <v>646714.86486486485</v>
      </c>
      <c r="Z369" s="2">
        <v>441675</v>
      </c>
      <c r="AA369" s="3">
        <v>73.891913839157553</v>
      </c>
      <c r="AB369" s="6">
        <v>1.4642324443648946</v>
      </c>
      <c r="AC369" s="3">
        <v>50.46460630177328</v>
      </c>
      <c r="AD369" s="4">
        <v>920540.25869369332</v>
      </c>
      <c r="AE369" s="5">
        <v>2.8206100807074686E-2</v>
      </c>
      <c r="AL369" s="7">
        <v>-0.64942960042933895</v>
      </c>
      <c r="AN369" s="7">
        <v>-0.62049115871135263</v>
      </c>
      <c r="AO369" s="7">
        <v>-0.60454915944982168</v>
      </c>
      <c r="AP369" s="7">
        <v>-0.11349183356666148</v>
      </c>
      <c r="AQ369" s="7">
        <v>-4.0313479266731012E-2</v>
      </c>
      <c r="AR369" s="7">
        <v>-7.6252351907596827E-2</v>
      </c>
      <c r="AS369" s="7">
        <v>-0.68674381977667254</v>
      </c>
      <c r="AT369" s="8">
        <v>-0.30022176251536281</v>
      </c>
    </row>
    <row r="370" spans="1:46" x14ac:dyDescent="0.3">
      <c r="A370" t="str">
        <f t="shared" si="20"/>
        <v>202403 &amp; Segm SDC &gt; Les Eco-responsables</v>
      </c>
      <c r="B370">
        <v>202403</v>
      </c>
      <c r="C370" t="s">
        <v>59</v>
      </c>
      <c r="D370" t="s">
        <v>67</v>
      </c>
      <c r="E370" s="4">
        <v>0</v>
      </c>
      <c r="F370" s="4">
        <v>11441289.546486489</v>
      </c>
      <c r="H370" s="2">
        <v>245434.00900900899</v>
      </c>
      <c r="I370" s="2">
        <v>174660.75</v>
      </c>
      <c r="J370" s="3">
        <v>65.505785051801794</v>
      </c>
      <c r="K370" s="6">
        <v>1.4052041400773156</v>
      </c>
      <c r="L370" s="3">
        <v>46.616561383172133</v>
      </c>
      <c r="M370" s="53">
        <v>3.9719528793219917E-2</v>
      </c>
      <c r="N370" s="53">
        <v>4.311908429737376E-2</v>
      </c>
      <c r="O370" s="4">
        <v>288364.92518018006</v>
      </c>
      <c r="P370" s="5">
        <v>2.5203883181921058E-2</v>
      </c>
      <c r="V370" s="4">
        <v>0</v>
      </c>
      <c r="W370" s="4">
        <v>32636211.044909913</v>
      </c>
      <c r="Y370" s="2">
        <v>646714.86486486485</v>
      </c>
      <c r="Z370" s="2">
        <v>441675</v>
      </c>
      <c r="AA370" s="3">
        <v>73.891913839157553</v>
      </c>
      <c r="AB370" s="6">
        <v>1.4642324443648946</v>
      </c>
      <c r="AC370" s="3">
        <v>50.46460630177328</v>
      </c>
      <c r="AD370" s="4">
        <v>920540.25869369332</v>
      </c>
      <c r="AE370" s="5">
        <v>2.8206100807074686E-2</v>
      </c>
      <c r="AL370" s="7">
        <v>-0.64942960042933895</v>
      </c>
      <c r="AN370" s="7">
        <v>-0.62049115871135263</v>
      </c>
      <c r="AO370" s="7">
        <v>-0.60454915944982168</v>
      </c>
      <c r="AP370" s="7">
        <v>-0.11349183356666148</v>
      </c>
      <c r="AQ370" s="7">
        <v>-4.0313479266731012E-2</v>
      </c>
      <c r="AR370" s="7">
        <v>-7.6252351907596827E-2</v>
      </c>
      <c r="AS370" s="7">
        <v>-0.68674381977667254</v>
      </c>
      <c r="AT370" s="8">
        <v>-0.30022176251536281</v>
      </c>
    </row>
    <row r="371" spans="1:46" x14ac:dyDescent="0.3">
      <c r="A371" t="str">
        <f t="shared" si="20"/>
        <v>202403 &amp; Segm SDC &gt; Les Eco-responsables</v>
      </c>
      <c r="B371">
        <v>202403</v>
      </c>
      <c r="C371" t="s">
        <v>59</v>
      </c>
      <c r="D371" t="s">
        <v>67</v>
      </c>
      <c r="E371" s="4">
        <v>0</v>
      </c>
      <c r="F371" s="4">
        <v>11441289.546486489</v>
      </c>
      <c r="H371" s="2">
        <v>245434.00900900899</v>
      </c>
      <c r="I371" s="2">
        <v>174660.75</v>
      </c>
      <c r="J371" s="3">
        <v>65.505785051801794</v>
      </c>
      <c r="K371" s="6">
        <v>1.4052041400773156</v>
      </c>
      <c r="L371" s="3">
        <v>46.616561383172133</v>
      </c>
      <c r="M371" s="53">
        <v>3.9719528793219917E-2</v>
      </c>
      <c r="N371" s="53">
        <v>4.311908429737376E-2</v>
      </c>
      <c r="O371" s="4">
        <v>288364.92518018006</v>
      </c>
      <c r="P371" s="5">
        <v>2.5203883181921058E-2</v>
      </c>
      <c r="V371" s="4">
        <v>0</v>
      </c>
      <c r="W371" s="4">
        <v>32636211.044909913</v>
      </c>
      <c r="Y371" s="2">
        <v>646714.86486486485</v>
      </c>
      <c r="Z371" s="2">
        <v>441675</v>
      </c>
      <c r="AA371" s="3">
        <v>73.891913839157553</v>
      </c>
      <c r="AB371" s="6">
        <v>1.4642324443648946</v>
      </c>
      <c r="AC371" s="3">
        <v>50.46460630177328</v>
      </c>
      <c r="AD371" s="4">
        <v>920540.25869369332</v>
      </c>
      <c r="AE371" s="5">
        <v>2.8206100807074686E-2</v>
      </c>
      <c r="AL371" s="7">
        <v>-0.64942960042933895</v>
      </c>
      <c r="AN371" s="7">
        <v>-0.62049115871135263</v>
      </c>
      <c r="AO371" s="7">
        <v>-0.60454915944982168</v>
      </c>
      <c r="AP371" s="7">
        <v>-0.11349183356666148</v>
      </c>
      <c r="AQ371" s="7">
        <v>-4.0313479266731012E-2</v>
      </c>
      <c r="AR371" s="7">
        <v>-7.6252351907596827E-2</v>
      </c>
      <c r="AS371" s="7">
        <v>-0.68674381977667254</v>
      </c>
      <c r="AT371" s="8">
        <v>-0.30022176251536281</v>
      </c>
    </row>
    <row r="372" spans="1:46" x14ac:dyDescent="0.3">
      <c r="A372" t="str">
        <f t="shared" si="20"/>
        <v>202403 &amp; Segm SDC &gt; Les Eco-responsables</v>
      </c>
      <c r="B372">
        <v>202403</v>
      </c>
      <c r="C372" t="s">
        <v>59</v>
      </c>
      <c r="D372" t="s">
        <v>67</v>
      </c>
      <c r="E372" s="4">
        <v>0</v>
      </c>
      <c r="F372" s="4">
        <v>11441289.546486489</v>
      </c>
      <c r="H372" s="2">
        <v>245434.00900900899</v>
      </c>
      <c r="I372" s="2">
        <v>174660.75</v>
      </c>
      <c r="J372" s="3">
        <v>65.505785051801794</v>
      </c>
      <c r="K372" s="6">
        <v>1.4052041400773156</v>
      </c>
      <c r="L372" s="3">
        <v>46.616561383172133</v>
      </c>
      <c r="M372" s="53">
        <v>3.9719528793219917E-2</v>
      </c>
      <c r="N372" s="53">
        <v>4.311908429737376E-2</v>
      </c>
      <c r="O372" s="4">
        <v>288364.92518018006</v>
      </c>
      <c r="P372" s="5">
        <v>2.5203883181921058E-2</v>
      </c>
      <c r="V372" s="4">
        <v>0</v>
      </c>
      <c r="W372" s="4">
        <v>32636211.044909913</v>
      </c>
      <c r="Y372" s="2">
        <v>646714.86486486485</v>
      </c>
      <c r="Z372" s="2">
        <v>441675</v>
      </c>
      <c r="AA372" s="3">
        <v>73.891913839157553</v>
      </c>
      <c r="AB372" s="6">
        <v>1.4642324443648946</v>
      </c>
      <c r="AC372" s="3">
        <v>50.46460630177328</v>
      </c>
      <c r="AD372" s="4">
        <v>920540.25869369332</v>
      </c>
      <c r="AE372" s="5">
        <v>2.8206100807074686E-2</v>
      </c>
      <c r="AL372" s="7">
        <v>-0.64942960042933895</v>
      </c>
      <c r="AN372" s="7">
        <v>-0.62049115871135263</v>
      </c>
      <c r="AO372" s="7">
        <v>-0.60454915944982168</v>
      </c>
      <c r="AP372" s="7">
        <v>-0.11349183356666148</v>
      </c>
      <c r="AQ372" s="7">
        <v>-4.0313479266731012E-2</v>
      </c>
      <c r="AR372" s="7">
        <v>-7.6252351907596827E-2</v>
      </c>
      <c r="AS372" s="7">
        <v>-0.68674381977667254</v>
      </c>
      <c r="AT372" s="8">
        <v>-0.30022176251536281</v>
      </c>
    </row>
    <row r="373" spans="1:46" x14ac:dyDescent="0.3">
      <c r="A373" t="str">
        <f t="shared" si="20"/>
        <v>202312 &amp; Segm SDC &gt; Les Eco-responsables</v>
      </c>
      <c r="B373">
        <v>202312</v>
      </c>
      <c r="C373" t="s">
        <v>59</v>
      </c>
      <c r="D373" t="s">
        <v>67</v>
      </c>
      <c r="E373" s="4">
        <v>0</v>
      </c>
      <c r="F373" s="4">
        <v>10295289.864054047</v>
      </c>
      <c r="H373" s="2">
        <v>204848.19819819817</v>
      </c>
      <c r="I373" s="2">
        <v>137565.75</v>
      </c>
      <c r="J373" s="3">
        <v>74.839048702558927</v>
      </c>
      <c r="K373" s="6">
        <v>1.4890930205970465</v>
      </c>
      <c r="L373" s="3">
        <v>50.258142149207359</v>
      </c>
      <c r="M373" s="53">
        <v>3.024645631557352E-2</v>
      </c>
      <c r="N373" s="53">
        <v>3.3526340571074287E-2</v>
      </c>
      <c r="O373" s="4">
        <v>369646.06299549539</v>
      </c>
      <c r="P373" s="5">
        <v>3.5904386168485916E-2</v>
      </c>
      <c r="V373" s="4">
        <v>0</v>
      </c>
      <c r="W373" s="4">
        <v>37963997.974639662</v>
      </c>
      <c r="Y373" s="2">
        <v>702676.80180180178</v>
      </c>
      <c r="Z373" s="2">
        <v>455401.5</v>
      </c>
      <c r="AA373" s="3">
        <v>83.363796506247041</v>
      </c>
      <c r="AB373" s="6">
        <v>1.5429830639596087</v>
      </c>
      <c r="AC373" s="3">
        <v>54.027680830351152</v>
      </c>
      <c r="AD373" s="4">
        <v>1185522.0594819817</v>
      </c>
      <c r="AE373" s="5">
        <v>3.122753457825813E-2</v>
      </c>
      <c r="AL373" s="7">
        <v>-0.72881439223204558</v>
      </c>
      <c r="AN373" s="7">
        <v>-0.70847451107973536</v>
      </c>
      <c r="AO373" s="7">
        <v>-0.69792424926136609</v>
      </c>
      <c r="AP373" s="7">
        <v>-0.10225959182472333</v>
      </c>
      <c r="AQ373" s="7">
        <v>-3.4925881314775697E-2</v>
      </c>
      <c r="AR373" s="7">
        <v>-6.9770506955134315E-2</v>
      </c>
      <c r="AS373" s="7">
        <v>-0.68819975972693959</v>
      </c>
      <c r="AT373" s="8">
        <v>0.46768515902277863</v>
      </c>
    </row>
    <row r="374" spans="1:46" x14ac:dyDescent="0.3">
      <c r="A374" t="str">
        <f t="shared" si="20"/>
        <v>202312 &amp; Segm SDC &gt; Les Eco-responsables</v>
      </c>
      <c r="B374">
        <v>202312</v>
      </c>
      <c r="C374" t="s">
        <v>59</v>
      </c>
      <c r="D374" t="s">
        <v>67</v>
      </c>
      <c r="E374" s="4">
        <v>0</v>
      </c>
      <c r="F374" s="4">
        <v>10295289.864054047</v>
      </c>
      <c r="H374" s="2">
        <v>204848.19819819817</v>
      </c>
      <c r="I374" s="2">
        <v>137565.75</v>
      </c>
      <c r="J374" s="3">
        <v>74.839048702558927</v>
      </c>
      <c r="K374" s="6">
        <v>1.4890930205970465</v>
      </c>
      <c r="L374" s="3">
        <v>50.258142149207359</v>
      </c>
      <c r="M374" s="53">
        <v>3.024645631557352E-2</v>
      </c>
      <c r="N374" s="53">
        <v>3.3526340571074287E-2</v>
      </c>
      <c r="O374" s="4">
        <v>369646.06299549539</v>
      </c>
      <c r="P374" s="5">
        <v>3.5904386168485916E-2</v>
      </c>
      <c r="V374" s="4">
        <v>0</v>
      </c>
      <c r="W374" s="4">
        <v>37963997.974639662</v>
      </c>
      <c r="Y374" s="2">
        <v>702676.80180180178</v>
      </c>
      <c r="Z374" s="2">
        <v>455401.5</v>
      </c>
      <c r="AA374" s="3">
        <v>83.363796506247041</v>
      </c>
      <c r="AB374" s="6">
        <v>1.5429830639596087</v>
      </c>
      <c r="AC374" s="3">
        <v>54.027680830351152</v>
      </c>
      <c r="AD374" s="4">
        <v>1185522.0594819817</v>
      </c>
      <c r="AE374" s="5">
        <v>3.122753457825813E-2</v>
      </c>
      <c r="AL374" s="7">
        <v>-0.72881439223204558</v>
      </c>
      <c r="AN374" s="7">
        <v>-0.70847451107973536</v>
      </c>
      <c r="AO374" s="7">
        <v>-0.69792424926136609</v>
      </c>
      <c r="AP374" s="7">
        <v>-0.10225959182472333</v>
      </c>
      <c r="AQ374" s="7">
        <v>-3.4925881314775697E-2</v>
      </c>
      <c r="AR374" s="7">
        <v>-6.9770506955134315E-2</v>
      </c>
      <c r="AS374" s="7">
        <v>-0.68819975972693959</v>
      </c>
      <c r="AT374" s="8">
        <v>0.46768515902277863</v>
      </c>
    </row>
    <row r="375" spans="1:46" x14ac:dyDescent="0.3">
      <c r="A375" t="str">
        <f t="shared" si="20"/>
        <v>202312 &amp; Segm SDC &gt; Les Eco-responsables</v>
      </c>
      <c r="B375">
        <v>202312</v>
      </c>
      <c r="C375" t="s">
        <v>59</v>
      </c>
      <c r="D375" t="s">
        <v>67</v>
      </c>
      <c r="E375" s="4">
        <v>0</v>
      </c>
      <c r="F375" s="4">
        <v>10295289.864054047</v>
      </c>
      <c r="H375" s="2">
        <v>204848.19819819817</v>
      </c>
      <c r="I375" s="2">
        <v>137565.75</v>
      </c>
      <c r="J375" s="3">
        <v>74.839048702558927</v>
      </c>
      <c r="K375" s="6">
        <v>1.4890930205970465</v>
      </c>
      <c r="L375" s="3">
        <v>50.258142149207359</v>
      </c>
      <c r="M375" s="53">
        <v>3.024645631557352E-2</v>
      </c>
      <c r="N375" s="53">
        <v>3.3526340571074287E-2</v>
      </c>
      <c r="O375" s="4">
        <v>369646.06299549539</v>
      </c>
      <c r="P375" s="5">
        <v>3.5904386168485916E-2</v>
      </c>
      <c r="V375" s="4">
        <v>0</v>
      </c>
      <c r="W375" s="4">
        <v>37963997.974639662</v>
      </c>
      <c r="Y375" s="2">
        <v>702676.80180180178</v>
      </c>
      <c r="Z375" s="2">
        <v>455401.5</v>
      </c>
      <c r="AA375" s="3">
        <v>83.363796506247041</v>
      </c>
      <c r="AB375" s="6">
        <v>1.5429830639596087</v>
      </c>
      <c r="AC375" s="3">
        <v>54.027680830351152</v>
      </c>
      <c r="AD375" s="4">
        <v>1185522.0594819817</v>
      </c>
      <c r="AE375" s="5">
        <v>3.122753457825813E-2</v>
      </c>
      <c r="AL375" s="7">
        <v>-0.72881439223204558</v>
      </c>
      <c r="AN375" s="7">
        <v>-0.70847451107973536</v>
      </c>
      <c r="AO375" s="7">
        <v>-0.69792424926136609</v>
      </c>
      <c r="AP375" s="7">
        <v>-0.10225959182472333</v>
      </c>
      <c r="AQ375" s="7">
        <v>-3.4925881314775697E-2</v>
      </c>
      <c r="AR375" s="7">
        <v>-6.9770506955134315E-2</v>
      </c>
      <c r="AS375" s="7">
        <v>-0.68819975972693959</v>
      </c>
      <c r="AT375" s="8">
        <v>0.46768515902277863</v>
      </c>
    </row>
    <row r="376" spans="1:46" x14ac:dyDescent="0.3">
      <c r="A376" t="str">
        <f t="shared" si="20"/>
        <v>202312 &amp; Segm SDC &gt; Les Eco-responsables</v>
      </c>
      <c r="B376">
        <v>202312</v>
      </c>
      <c r="C376" t="s">
        <v>59</v>
      </c>
      <c r="D376" t="s">
        <v>67</v>
      </c>
      <c r="E376" s="4">
        <v>0</v>
      </c>
      <c r="F376" s="4">
        <v>10295289.864054047</v>
      </c>
      <c r="H376" s="2">
        <v>204848.19819819817</v>
      </c>
      <c r="I376" s="2">
        <v>137565.75</v>
      </c>
      <c r="J376" s="3">
        <v>74.839048702558927</v>
      </c>
      <c r="K376" s="6">
        <v>1.4890930205970465</v>
      </c>
      <c r="L376" s="3">
        <v>50.258142149207359</v>
      </c>
      <c r="M376" s="53">
        <v>3.024645631557352E-2</v>
      </c>
      <c r="N376" s="53">
        <v>3.3526340571074287E-2</v>
      </c>
      <c r="O376" s="4">
        <v>369646.06299549539</v>
      </c>
      <c r="P376" s="5">
        <v>3.5904386168485916E-2</v>
      </c>
      <c r="V376" s="4">
        <v>0</v>
      </c>
      <c r="W376" s="4">
        <v>37963997.974639662</v>
      </c>
      <c r="Y376" s="2">
        <v>702676.80180180178</v>
      </c>
      <c r="Z376" s="2">
        <v>455401.5</v>
      </c>
      <c r="AA376" s="3">
        <v>83.363796506247041</v>
      </c>
      <c r="AB376" s="6">
        <v>1.5429830639596087</v>
      </c>
      <c r="AC376" s="3">
        <v>54.027680830351152</v>
      </c>
      <c r="AD376" s="4">
        <v>1185522.0594819817</v>
      </c>
      <c r="AE376" s="5">
        <v>3.122753457825813E-2</v>
      </c>
      <c r="AL376" s="7">
        <v>-0.72881439223204558</v>
      </c>
      <c r="AN376" s="7">
        <v>-0.70847451107973536</v>
      </c>
      <c r="AO376" s="7">
        <v>-0.69792424926136609</v>
      </c>
      <c r="AP376" s="7">
        <v>-0.10225959182472333</v>
      </c>
      <c r="AQ376" s="7">
        <v>-3.4925881314775697E-2</v>
      </c>
      <c r="AR376" s="7">
        <v>-6.9770506955134315E-2</v>
      </c>
      <c r="AS376" s="7">
        <v>-0.68819975972693959</v>
      </c>
      <c r="AT376" s="8">
        <v>0.46768515902277863</v>
      </c>
    </row>
    <row r="377" spans="1:46" x14ac:dyDescent="0.3">
      <c r="A377" t="str">
        <f t="shared" si="20"/>
        <v>202401 &amp; Segm SDC &gt; Les Eco-responsables</v>
      </c>
      <c r="B377">
        <v>202401</v>
      </c>
      <c r="C377" t="s">
        <v>59</v>
      </c>
      <c r="D377" t="s">
        <v>67</v>
      </c>
      <c r="E377" s="4">
        <v>0</v>
      </c>
      <c r="F377" s="4">
        <v>32987835.721621618</v>
      </c>
      <c r="H377" s="2">
        <v>651568.4684684684</v>
      </c>
      <c r="I377" s="2">
        <v>451362.75</v>
      </c>
      <c r="J377" s="3">
        <v>73.084975934814338</v>
      </c>
      <c r="K377" s="6">
        <v>1.4435583540477552</v>
      </c>
      <c r="L377" s="3">
        <v>50.628348850521469</v>
      </c>
      <c r="M377" s="53">
        <v>0.12296710333443997</v>
      </c>
      <c r="N377" s="53">
        <v>0.11454900695592424</v>
      </c>
      <c r="O377" s="4">
        <v>1430916.359954956</v>
      </c>
      <c r="P377" s="5">
        <v>4.337709124145641E-2</v>
      </c>
      <c r="V377" s="4">
        <v>0</v>
      </c>
      <c r="W377" s="4">
        <v>30292824.795405399</v>
      </c>
      <c r="Y377" s="2">
        <v>611881.30630630627</v>
      </c>
      <c r="Z377" s="2">
        <v>437368.5</v>
      </c>
      <c r="AA377" s="3">
        <v>69.261560435663284</v>
      </c>
      <c r="AB377" s="6">
        <v>1.3990063443213361</v>
      </c>
      <c r="AC377" s="3">
        <v>49.507681446049745</v>
      </c>
      <c r="AD377" s="4">
        <v>1111020.5729729729</v>
      </c>
      <c r="AE377" s="5">
        <v>3.667603072597854E-2</v>
      </c>
      <c r="AL377" s="7">
        <v>8.8965322462267737E-2</v>
      </c>
      <c r="AN377" s="7">
        <v>6.4860883562105176E-2</v>
      </c>
      <c r="AO377" s="7">
        <v>3.1996474368867434E-2</v>
      </c>
      <c r="AP377" s="7">
        <v>5.5202560772545706E-2</v>
      </c>
      <c r="AQ377" s="7">
        <v>3.1845466539346834E-2</v>
      </c>
      <c r="AR377" s="7">
        <v>2.2636232837786041E-2</v>
      </c>
      <c r="AS377" s="7">
        <v>0.28792967003840086</v>
      </c>
      <c r="AT377" s="8">
        <v>0.67010605154778702</v>
      </c>
    </row>
    <row r="378" spans="1:46" x14ac:dyDescent="0.3">
      <c r="A378" t="str">
        <f t="shared" si="20"/>
        <v>202401 &amp; Segm SDC &gt; Les Eco-responsables</v>
      </c>
      <c r="B378">
        <v>202401</v>
      </c>
      <c r="C378" t="s">
        <v>59</v>
      </c>
      <c r="D378" t="s">
        <v>67</v>
      </c>
      <c r="E378" s="4">
        <v>0</v>
      </c>
      <c r="F378" s="4">
        <v>32987835.721621618</v>
      </c>
      <c r="H378" s="2">
        <v>651568.4684684684</v>
      </c>
      <c r="I378" s="2">
        <v>451362.75</v>
      </c>
      <c r="J378" s="3">
        <v>73.084975934814338</v>
      </c>
      <c r="K378" s="6">
        <v>1.4435583540477552</v>
      </c>
      <c r="L378" s="3">
        <v>50.628348850521469</v>
      </c>
      <c r="M378" s="53">
        <v>0.12296710333443997</v>
      </c>
      <c r="N378" s="53">
        <v>0.11454900695592424</v>
      </c>
      <c r="O378" s="4">
        <v>1430916.359954956</v>
      </c>
      <c r="P378" s="5">
        <v>4.337709124145641E-2</v>
      </c>
      <c r="V378" s="4">
        <v>0</v>
      </c>
      <c r="W378" s="4">
        <v>30292824.795405399</v>
      </c>
      <c r="Y378" s="2">
        <v>611881.30630630627</v>
      </c>
      <c r="Z378" s="2">
        <v>437368.5</v>
      </c>
      <c r="AA378" s="3">
        <v>69.261560435663284</v>
      </c>
      <c r="AB378" s="6">
        <v>1.3990063443213361</v>
      </c>
      <c r="AC378" s="3">
        <v>49.507681446049745</v>
      </c>
      <c r="AD378" s="4">
        <v>1111020.5729729729</v>
      </c>
      <c r="AE378" s="5">
        <v>3.667603072597854E-2</v>
      </c>
      <c r="AL378" s="7">
        <v>8.8965322462267737E-2</v>
      </c>
      <c r="AN378" s="7">
        <v>6.4860883562105176E-2</v>
      </c>
      <c r="AO378" s="7">
        <v>3.1996474368867434E-2</v>
      </c>
      <c r="AP378" s="7">
        <v>5.5202560772545706E-2</v>
      </c>
      <c r="AQ378" s="7">
        <v>3.1845466539346834E-2</v>
      </c>
      <c r="AR378" s="7">
        <v>2.2636232837786041E-2</v>
      </c>
      <c r="AS378" s="7">
        <v>0.28792967003840086</v>
      </c>
      <c r="AT378" s="8">
        <v>0.67010605154778702</v>
      </c>
    </row>
    <row r="379" spans="1:46" x14ac:dyDescent="0.3">
      <c r="A379" t="str">
        <f t="shared" si="20"/>
        <v>202401 &amp; Segm SDC &gt; Les Eco-responsables</v>
      </c>
      <c r="B379">
        <v>202401</v>
      </c>
      <c r="C379" t="s">
        <v>59</v>
      </c>
      <c r="D379" t="s">
        <v>67</v>
      </c>
      <c r="E379" s="4">
        <v>0</v>
      </c>
      <c r="F379" s="4">
        <v>32987835.721621618</v>
      </c>
      <c r="H379" s="2">
        <v>651568.4684684684</v>
      </c>
      <c r="I379" s="2">
        <v>451362.75</v>
      </c>
      <c r="J379" s="3">
        <v>73.084975934814338</v>
      </c>
      <c r="K379" s="6">
        <v>1.4435583540477552</v>
      </c>
      <c r="L379" s="3">
        <v>50.628348850521469</v>
      </c>
      <c r="M379" s="53">
        <v>0.12296710333443997</v>
      </c>
      <c r="N379" s="53">
        <v>0.11454900695592424</v>
      </c>
      <c r="O379" s="4">
        <v>1430916.359954956</v>
      </c>
      <c r="P379" s="5">
        <v>4.337709124145641E-2</v>
      </c>
      <c r="V379" s="4">
        <v>0</v>
      </c>
      <c r="W379" s="4">
        <v>30292824.795405399</v>
      </c>
      <c r="Y379" s="2">
        <v>611881.30630630627</v>
      </c>
      <c r="Z379" s="2">
        <v>437368.5</v>
      </c>
      <c r="AA379" s="3">
        <v>69.261560435663284</v>
      </c>
      <c r="AB379" s="6">
        <v>1.3990063443213361</v>
      </c>
      <c r="AC379" s="3">
        <v>49.507681446049745</v>
      </c>
      <c r="AD379" s="4">
        <v>1111020.5729729729</v>
      </c>
      <c r="AE379" s="5">
        <v>3.667603072597854E-2</v>
      </c>
      <c r="AL379" s="7">
        <v>8.8965322462267737E-2</v>
      </c>
      <c r="AN379" s="7">
        <v>6.4860883562105176E-2</v>
      </c>
      <c r="AO379" s="7">
        <v>3.1996474368867434E-2</v>
      </c>
      <c r="AP379" s="7">
        <v>5.5202560772545706E-2</v>
      </c>
      <c r="AQ379" s="7">
        <v>3.1845466539346834E-2</v>
      </c>
      <c r="AR379" s="7">
        <v>2.2636232837786041E-2</v>
      </c>
      <c r="AS379" s="7">
        <v>0.28792967003840086</v>
      </c>
      <c r="AT379" s="8">
        <v>0.67010605154778702</v>
      </c>
    </row>
    <row r="380" spans="1:46" x14ac:dyDescent="0.3">
      <c r="A380" t="str">
        <f t="shared" si="20"/>
        <v>202401 &amp; Segm SDC &gt; Les Eco-responsables</v>
      </c>
      <c r="B380">
        <v>202401</v>
      </c>
      <c r="C380" t="s">
        <v>59</v>
      </c>
      <c r="D380" t="s">
        <v>67</v>
      </c>
      <c r="E380" s="4">
        <v>0</v>
      </c>
      <c r="F380" s="4">
        <v>32987835.721621618</v>
      </c>
      <c r="H380" s="2">
        <v>651568.4684684684</v>
      </c>
      <c r="I380" s="2">
        <v>451362.75</v>
      </c>
      <c r="J380" s="3">
        <v>73.084975934814338</v>
      </c>
      <c r="K380" s="6">
        <v>1.4435583540477552</v>
      </c>
      <c r="L380" s="3">
        <v>50.628348850521469</v>
      </c>
      <c r="M380" s="53">
        <v>0.12296710333443997</v>
      </c>
      <c r="N380" s="53">
        <v>0.11454900695592424</v>
      </c>
      <c r="O380" s="4">
        <v>1430916.359954956</v>
      </c>
      <c r="P380" s="5">
        <v>4.337709124145641E-2</v>
      </c>
      <c r="V380" s="4">
        <v>0</v>
      </c>
      <c r="W380" s="4">
        <v>30292824.795405399</v>
      </c>
      <c r="Y380" s="2">
        <v>611881.30630630627</v>
      </c>
      <c r="Z380" s="2">
        <v>437368.5</v>
      </c>
      <c r="AA380" s="3">
        <v>69.261560435663284</v>
      </c>
      <c r="AB380" s="6">
        <v>1.3990063443213361</v>
      </c>
      <c r="AC380" s="3">
        <v>49.507681446049745</v>
      </c>
      <c r="AD380" s="4">
        <v>1111020.5729729729</v>
      </c>
      <c r="AE380" s="5">
        <v>3.667603072597854E-2</v>
      </c>
      <c r="AL380" s="7">
        <v>8.8965322462267737E-2</v>
      </c>
      <c r="AN380" s="7">
        <v>6.4860883562105176E-2</v>
      </c>
      <c r="AO380" s="7">
        <v>3.1996474368867434E-2</v>
      </c>
      <c r="AP380" s="7">
        <v>5.5202560772545706E-2</v>
      </c>
      <c r="AQ380" s="7">
        <v>3.1845466539346834E-2</v>
      </c>
      <c r="AR380" s="7">
        <v>2.2636232837786041E-2</v>
      </c>
      <c r="AS380" s="7">
        <v>0.28792967003840086</v>
      </c>
      <c r="AT380" s="8">
        <v>0.67010605154778702</v>
      </c>
    </row>
    <row r="381" spans="1:46" x14ac:dyDescent="0.3">
      <c r="A381" t="str">
        <f t="shared" si="20"/>
        <v>202411 &amp; Segm SDC &gt; Les Eco-responsables</v>
      </c>
      <c r="B381">
        <v>202411</v>
      </c>
      <c r="C381" t="s">
        <v>59</v>
      </c>
      <c r="D381" t="s">
        <v>67</v>
      </c>
      <c r="E381" s="4">
        <v>0</v>
      </c>
      <c r="F381" s="4">
        <v>22734915.301306318</v>
      </c>
      <c r="H381" s="2">
        <v>471663.06306306302</v>
      </c>
      <c r="I381" s="2">
        <v>338001.75</v>
      </c>
      <c r="J381" s="3">
        <v>67.262714767915611</v>
      </c>
      <c r="K381" s="6">
        <v>1.3954456243586402</v>
      </c>
      <c r="L381" s="3">
        <v>48.201602121781114</v>
      </c>
      <c r="M381" s="53">
        <v>7.7086892798069406E-2</v>
      </c>
      <c r="N381" s="53">
        <v>8.2051109322826957E-2</v>
      </c>
      <c r="O381" s="4">
        <v>1007120.3826576575</v>
      </c>
      <c r="P381" s="5">
        <v>4.4298400469509981E-2</v>
      </c>
      <c r="V381" s="4">
        <v>0</v>
      </c>
      <c r="W381" s="4">
        <v>8301269.2785135172</v>
      </c>
      <c r="Y381" s="2">
        <v>176335.13513513512</v>
      </c>
      <c r="Z381" s="2">
        <v>132073.5</v>
      </c>
      <c r="AA381" s="3">
        <v>62.853405706016098</v>
      </c>
      <c r="AB381" s="6">
        <v>1.3351288118747147</v>
      </c>
      <c r="AC381" s="3">
        <v>47.076660429311531</v>
      </c>
      <c r="AD381" s="4">
        <v>454470.56441441446</v>
      </c>
      <c r="AE381" s="5">
        <v>5.4747117478858021E-2</v>
      </c>
      <c r="AL381" s="7">
        <v>1.7387276015912341</v>
      </c>
      <c r="AN381" s="7">
        <v>1.6748104551120919</v>
      </c>
      <c r="AO381" s="7">
        <v>1.5591943122579472</v>
      </c>
      <c r="AP381" s="7">
        <v>7.0152269592568262E-2</v>
      </c>
      <c r="AQ381" s="7">
        <v>4.5176773916841828E-2</v>
      </c>
      <c r="AR381" s="7">
        <v>2.3895953583172203E-2</v>
      </c>
      <c r="AS381" s="7">
        <v>1.2160299511483932</v>
      </c>
      <c r="AT381" s="8">
        <v>-1.0448717009348039</v>
      </c>
    </row>
    <row r="382" spans="1:46" x14ac:dyDescent="0.3">
      <c r="A382" t="str">
        <f t="shared" si="20"/>
        <v>202411 &amp; Segm SDC &gt; Les Eco-responsables</v>
      </c>
      <c r="B382">
        <v>202411</v>
      </c>
      <c r="C382" t="s">
        <v>59</v>
      </c>
      <c r="D382" t="s">
        <v>67</v>
      </c>
      <c r="E382" s="4">
        <v>0</v>
      </c>
      <c r="F382" s="4">
        <v>22734915.301306318</v>
      </c>
      <c r="H382" s="2">
        <v>471663.06306306302</v>
      </c>
      <c r="I382" s="2">
        <v>338001.75</v>
      </c>
      <c r="J382" s="3">
        <v>67.262714767915611</v>
      </c>
      <c r="K382" s="6">
        <v>1.3954456243586402</v>
      </c>
      <c r="L382" s="3">
        <v>48.201602121781114</v>
      </c>
      <c r="M382" s="53">
        <v>7.7086892798069406E-2</v>
      </c>
      <c r="N382" s="53">
        <v>8.2051109322826957E-2</v>
      </c>
      <c r="O382" s="4">
        <v>1007120.3826576575</v>
      </c>
      <c r="P382" s="5">
        <v>4.4298400469509981E-2</v>
      </c>
      <c r="V382" s="4">
        <v>0</v>
      </c>
      <c r="W382" s="4">
        <v>8301269.2785135172</v>
      </c>
      <c r="Y382" s="2">
        <v>176335.13513513512</v>
      </c>
      <c r="Z382" s="2">
        <v>132073.5</v>
      </c>
      <c r="AA382" s="3">
        <v>62.853405706016098</v>
      </c>
      <c r="AB382" s="6">
        <v>1.3351288118747147</v>
      </c>
      <c r="AC382" s="3">
        <v>47.076660429311531</v>
      </c>
      <c r="AD382" s="4">
        <v>454470.56441441446</v>
      </c>
      <c r="AE382" s="5">
        <v>5.4747117478858021E-2</v>
      </c>
      <c r="AL382" s="7">
        <v>1.7387276015912341</v>
      </c>
      <c r="AN382" s="7">
        <v>1.6748104551120919</v>
      </c>
      <c r="AO382" s="7">
        <v>1.5591943122579472</v>
      </c>
      <c r="AP382" s="7">
        <v>7.0152269592568262E-2</v>
      </c>
      <c r="AQ382" s="7">
        <v>4.5176773916841828E-2</v>
      </c>
      <c r="AR382" s="7">
        <v>2.3895953583172203E-2</v>
      </c>
      <c r="AS382" s="7">
        <v>1.2160299511483932</v>
      </c>
      <c r="AT382" s="8">
        <v>-1.0448717009348039</v>
      </c>
    </row>
    <row r="383" spans="1:46" x14ac:dyDescent="0.3">
      <c r="A383" t="str">
        <f t="shared" si="20"/>
        <v>202411 &amp; Segm SDC &gt; Les Eco-responsables</v>
      </c>
      <c r="B383">
        <v>202411</v>
      </c>
      <c r="C383" t="s">
        <v>59</v>
      </c>
      <c r="D383" t="s">
        <v>67</v>
      </c>
      <c r="E383" s="4">
        <v>0</v>
      </c>
      <c r="F383" s="4">
        <v>22734915.301306318</v>
      </c>
      <c r="H383" s="2">
        <v>471663.06306306302</v>
      </c>
      <c r="I383" s="2">
        <v>338001.75</v>
      </c>
      <c r="J383" s="3">
        <v>67.262714767915611</v>
      </c>
      <c r="K383" s="6">
        <v>1.3954456243586402</v>
      </c>
      <c r="L383" s="3">
        <v>48.201602121781114</v>
      </c>
      <c r="M383" s="53">
        <v>7.7086892798069406E-2</v>
      </c>
      <c r="N383" s="53">
        <v>8.2051109322826957E-2</v>
      </c>
      <c r="O383" s="4">
        <v>1007120.3826576575</v>
      </c>
      <c r="P383" s="5">
        <v>4.4298400469509981E-2</v>
      </c>
      <c r="V383" s="4">
        <v>0</v>
      </c>
      <c r="W383" s="4">
        <v>8301269.2785135172</v>
      </c>
      <c r="Y383" s="2">
        <v>176335.13513513512</v>
      </c>
      <c r="Z383" s="2">
        <v>132073.5</v>
      </c>
      <c r="AA383" s="3">
        <v>62.853405706016098</v>
      </c>
      <c r="AB383" s="6">
        <v>1.3351288118747147</v>
      </c>
      <c r="AC383" s="3">
        <v>47.076660429311531</v>
      </c>
      <c r="AD383" s="4">
        <v>454470.56441441446</v>
      </c>
      <c r="AE383" s="5">
        <v>5.4747117478858021E-2</v>
      </c>
      <c r="AL383" s="7">
        <v>1.7387276015912341</v>
      </c>
      <c r="AN383" s="7">
        <v>1.6748104551120919</v>
      </c>
      <c r="AO383" s="7">
        <v>1.5591943122579472</v>
      </c>
      <c r="AP383" s="7">
        <v>7.0152269592568262E-2</v>
      </c>
      <c r="AQ383" s="7">
        <v>4.5176773916841828E-2</v>
      </c>
      <c r="AR383" s="7">
        <v>2.3895953583172203E-2</v>
      </c>
      <c r="AS383" s="7">
        <v>1.2160299511483932</v>
      </c>
      <c r="AT383" s="8">
        <v>-1.0448717009348039</v>
      </c>
    </row>
    <row r="384" spans="1:46" x14ac:dyDescent="0.3">
      <c r="A384" t="str">
        <f t="shared" si="20"/>
        <v>202411 &amp; Segm SDC &gt; Les Eco-responsables</v>
      </c>
      <c r="B384">
        <v>202411</v>
      </c>
      <c r="C384" t="s">
        <v>59</v>
      </c>
      <c r="D384" t="s">
        <v>67</v>
      </c>
      <c r="E384" s="4">
        <v>0</v>
      </c>
      <c r="F384" s="4">
        <v>22734915.301306318</v>
      </c>
      <c r="H384" s="2">
        <v>471663.06306306302</v>
      </c>
      <c r="I384" s="2">
        <v>338001.75</v>
      </c>
      <c r="J384" s="3">
        <v>67.262714767915611</v>
      </c>
      <c r="K384" s="6">
        <v>1.3954456243586402</v>
      </c>
      <c r="L384" s="3">
        <v>48.201602121781114</v>
      </c>
      <c r="M384" s="53">
        <v>7.7086892798069406E-2</v>
      </c>
      <c r="N384" s="53">
        <v>8.2051109322826957E-2</v>
      </c>
      <c r="O384" s="4">
        <v>1007120.3826576575</v>
      </c>
      <c r="P384" s="5">
        <v>4.4298400469509981E-2</v>
      </c>
      <c r="V384" s="4">
        <v>0</v>
      </c>
      <c r="W384" s="4">
        <v>8301269.2785135172</v>
      </c>
      <c r="Y384" s="2">
        <v>176335.13513513512</v>
      </c>
      <c r="Z384" s="2">
        <v>132073.5</v>
      </c>
      <c r="AA384" s="3">
        <v>62.853405706016098</v>
      </c>
      <c r="AB384" s="6">
        <v>1.3351288118747147</v>
      </c>
      <c r="AC384" s="3">
        <v>47.076660429311531</v>
      </c>
      <c r="AD384" s="4">
        <v>454470.56441441446</v>
      </c>
      <c r="AE384" s="5">
        <v>5.4747117478858021E-2</v>
      </c>
      <c r="AL384" s="7">
        <v>1.7387276015912341</v>
      </c>
      <c r="AN384" s="7">
        <v>1.6748104551120919</v>
      </c>
      <c r="AO384" s="7">
        <v>1.5591943122579472</v>
      </c>
      <c r="AP384" s="7">
        <v>7.0152269592568262E-2</v>
      </c>
      <c r="AQ384" s="7">
        <v>4.5176773916841828E-2</v>
      </c>
      <c r="AR384" s="7">
        <v>2.3895953583172203E-2</v>
      </c>
      <c r="AS384" s="7">
        <v>1.2160299511483932</v>
      </c>
      <c r="AT384" s="8">
        <v>-1.0448717009348039</v>
      </c>
    </row>
    <row r="385" spans="1:46" x14ac:dyDescent="0.3">
      <c r="A385" t="str">
        <f t="shared" si="20"/>
        <v>202409 &amp; Segm SDC &gt; Les Eco-responsables</v>
      </c>
      <c r="B385">
        <v>202409</v>
      </c>
      <c r="C385" t="s">
        <v>59</v>
      </c>
      <c r="D385" t="s">
        <v>67</v>
      </c>
      <c r="E385" s="4">
        <v>0</v>
      </c>
      <c r="F385" s="4">
        <v>10160702.41306306</v>
      </c>
      <c r="H385" s="2">
        <v>221568.01801801799</v>
      </c>
      <c r="I385" s="2">
        <v>166763.25</v>
      </c>
      <c r="J385" s="3">
        <v>60.928906177248649</v>
      </c>
      <c r="K385" s="6">
        <v>1.3286381622930592</v>
      </c>
      <c r="L385" s="3">
        <v>45.858163574116496</v>
      </c>
      <c r="M385" s="53">
        <v>3.8655247625849813E-2</v>
      </c>
      <c r="N385" s="53">
        <v>4.1378328535193284E-2</v>
      </c>
      <c r="O385" s="4">
        <v>332672.99115540535</v>
      </c>
      <c r="P385" s="5">
        <v>3.2741141077776849E-2</v>
      </c>
      <c r="V385" s="4">
        <v>0</v>
      </c>
      <c r="W385" s="4">
        <v>32641066.279504508</v>
      </c>
      <c r="Y385" s="2">
        <v>643991.66666666663</v>
      </c>
      <c r="Z385" s="2">
        <v>448289.25</v>
      </c>
      <c r="AA385" s="3">
        <v>72.812511742149752</v>
      </c>
      <c r="AB385" s="6">
        <v>1.4365538916373004</v>
      </c>
      <c r="AC385" s="3">
        <v>50.685541395987798</v>
      </c>
      <c r="AD385" s="4">
        <v>1021101.8757177922</v>
      </c>
      <c r="AE385" s="5">
        <v>3.1282736506648597E-2</v>
      </c>
      <c r="AL385" s="7">
        <v>-0.68871413923622282</v>
      </c>
      <c r="AN385" s="7">
        <v>-0.65594583053401112</v>
      </c>
      <c r="AO385" s="7">
        <v>-0.6280007829766161</v>
      </c>
      <c r="AP385" s="7">
        <v>-0.16320829045129503</v>
      </c>
      <c r="AQ385" s="7">
        <v>-7.5121253697795543E-2</v>
      </c>
      <c r="AR385" s="7">
        <v>-9.5241713690236596E-2</v>
      </c>
      <c r="AS385" s="7">
        <v>-0.67420195862283561</v>
      </c>
      <c r="AT385" s="8">
        <v>0.14584045711282523</v>
      </c>
    </row>
    <row r="386" spans="1:46" x14ac:dyDescent="0.3">
      <c r="A386" t="str">
        <f t="shared" ref="A386:A449" si="21">_xlfn.CONCAT(B386," &amp; ",C386," &gt; ",D386)</f>
        <v>202409 &amp; Segm SDC &gt; Les Eco-responsables</v>
      </c>
      <c r="B386">
        <v>202409</v>
      </c>
      <c r="C386" t="s">
        <v>59</v>
      </c>
      <c r="D386" t="s">
        <v>67</v>
      </c>
      <c r="E386" s="4">
        <v>0</v>
      </c>
      <c r="F386" s="4">
        <v>10160702.41306306</v>
      </c>
      <c r="H386" s="2">
        <v>221568.01801801799</v>
      </c>
      <c r="I386" s="2">
        <v>166763.25</v>
      </c>
      <c r="J386" s="3">
        <v>60.928906177248649</v>
      </c>
      <c r="K386" s="6">
        <v>1.3286381622930592</v>
      </c>
      <c r="L386" s="3">
        <v>45.858163574116496</v>
      </c>
      <c r="M386" s="53">
        <v>3.8655247625849813E-2</v>
      </c>
      <c r="N386" s="53">
        <v>4.1378328535193284E-2</v>
      </c>
      <c r="O386" s="4">
        <v>332672.99115540535</v>
      </c>
      <c r="P386" s="5">
        <v>3.2741141077776849E-2</v>
      </c>
      <c r="V386" s="4">
        <v>0</v>
      </c>
      <c r="W386" s="4">
        <v>32641066.279504508</v>
      </c>
      <c r="Y386" s="2">
        <v>643991.66666666663</v>
      </c>
      <c r="Z386" s="2">
        <v>448289.25</v>
      </c>
      <c r="AA386" s="3">
        <v>72.812511742149752</v>
      </c>
      <c r="AB386" s="6">
        <v>1.4365538916373004</v>
      </c>
      <c r="AC386" s="3">
        <v>50.685541395987798</v>
      </c>
      <c r="AD386" s="4">
        <v>1021101.8757177922</v>
      </c>
      <c r="AE386" s="5">
        <v>3.1282736506648597E-2</v>
      </c>
      <c r="AL386" s="7">
        <v>-0.68871413923622282</v>
      </c>
      <c r="AN386" s="7">
        <v>-0.65594583053401112</v>
      </c>
      <c r="AO386" s="7">
        <v>-0.6280007829766161</v>
      </c>
      <c r="AP386" s="7">
        <v>-0.16320829045129503</v>
      </c>
      <c r="AQ386" s="7">
        <v>-7.5121253697795543E-2</v>
      </c>
      <c r="AR386" s="7">
        <v>-9.5241713690236596E-2</v>
      </c>
      <c r="AS386" s="7">
        <v>-0.67420195862283561</v>
      </c>
      <c r="AT386" s="8">
        <v>0.14584045711282523</v>
      </c>
    </row>
    <row r="387" spans="1:46" x14ac:dyDescent="0.3">
      <c r="A387" t="str">
        <f t="shared" si="21"/>
        <v>202409 &amp; Segm SDC &gt; Les Eco-responsables</v>
      </c>
      <c r="B387">
        <v>202409</v>
      </c>
      <c r="C387" t="s">
        <v>59</v>
      </c>
      <c r="D387" t="s">
        <v>67</v>
      </c>
      <c r="E387" s="4">
        <v>0</v>
      </c>
      <c r="F387" s="4">
        <v>10160702.41306306</v>
      </c>
      <c r="H387" s="2">
        <v>221568.01801801799</v>
      </c>
      <c r="I387" s="2">
        <v>166763.25</v>
      </c>
      <c r="J387" s="3">
        <v>60.928906177248649</v>
      </c>
      <c r="K387" s="6">
        <v>1.3286381622930592</v>
      </c>
      <c r="L387" s="3">
        <v>45.858163574116496</v>
      </c>
      <c r="M387" s="53">
        <v>3.8655247625849813E-2</v>
      </c>
      <c r="N387" s="53">
        <v>4.1378328535193284E-2</v>
      </c>
      <c r="O387" s="4">
        <v>332672.99115540535</v>
      </c>
      <c r="P387" s="5">
        <v>3.2741141077776849E-2</v>
      </c>
      <c r="V387" s="4">
        <v>0</v>
      </c>
      <c r="W387" s="4">
        <v>32641066.279504508</v>
      </c>
      <c r="Y387" s="2">
        <v>643991.66666666663</v>
      </c>
      <c r="Z387" s="2">
        <v>448289.25</v>
      </c>
      <c r="AA387" s="3">
        <v>72.812511742149752</v>
      </c>
      <c r="AB387" s="6">
        <v>1.4365538916373004</v>
      </c>
      <c r="AC387" s="3">
        <v>50.685541395987798</v>
      </c>
      <c r="AD387" s="4">
        <v>1021101.8757177922</v>
      </c>
      <c r="AE387" s="5">
        <v>3.1282736506648597E-2</v>
      </c>
      <c r="AL387" s="7">
        <v>-0.68871413923622282</v>
      </c>
      <c r="AN387" s="7">
        <v>-0.65594583053401112</v>
      </c>
      <c r="AO387" s="7">
        <v>-0.6280007829766161</v>
      </c>
      <c r="AP387" s="7">
        <v>-0.16320829045129503</v>
      </c>
      <c r="AQ387" s="7">
        <v>-7.5121253697795543E-2</v>
      </c>
      <c r="AR387" s="7">
        <v>-9.5241713690236596E-2</v>
      </c>
      <c r="AS387" s="7">
        <v>-0.67420195862283561</v>
      </c>
      <c r="AT387" s="8">
        <v>0.14584045711282523</v>
      </c>
    </row>
    <row r="388" spans="1:46" x14ac:dyDescent="0.3">
      <c r="A388" t="str">
        <f t="shared" si="21"/>
        <v>202409 &amp; Segm SDC &gt; Les Eco-responsables</v>
      </c>
      <c r="B388">
        <v>202409</v>
      </c>
      <c r="C388" t="s">
        <v>59</v>
      </c>
      <c r="D388" t="s">
        <v>67</v>
      </c>
      <c r="E388" s="4">
        <v>0</v>
      </c>
      <c r="F388" s="4">
        <v>10160702.41306306</v>
      </c>
      <c r="H388" s="2">
        <v>221568.01801801799</v>
      </c>
      <c r="I388" s="2">
        <v>166763.25</v>
      </c>
      <c r="J388" s="3">
        <v>60.928906177248649</v>
      </c>
      <c r="K388" s="6">
        <v>1.3286381622930592</v>
      </c>
      <c r="L388" s="3">
        <v>45.858163574116496</v>
      </c>
      <c r="M388" s="53">
        <v>3.8655247625849813E-2</v>
      </c>
      <c r="N388" s="53">
        <v>4.1378328535193284E-2</v>
      </c>
      <c r="O388" s="4">
        <v>332672.99115540535</v>
      </c>
      <c r="P388" s="5">
        <v>3.2741141077776849E-2</v>
      </c>
      <c r="V388" s="4">
        <v>0</v>
      </c>
      <c r="W388" s="4">
        <v>32641066.279504508</v>
      </c>
      <c r="Y388" s="2">
        <v>643991.66666666663</v>
      </c>
      <c r="Z388" s="2">
        <v>448289.25</v>
      </c>
      <c r="AA388" s="3">
        <v>72.812511742149752</v>
      </c>
      <c r="AB388" s="6">
        <v>1.4365538916373004</v>
      </c>
      <c r="AC388" s="3">
        <v>50.685541395987798</v>
      </c>
      <c r="AD388" s="4">
        <v>1021101.8757177922</v>
      </c>
      <c r="AE388" s="5">
        <v>3.1282736506648597E-2</v>
      </c>
      <c r="AL388" s="7">
        <v>-0.68871413923622282</v>
      </c>
      <c r="AN388" s="7">
        <v>-0.65594583053401112</v>
      </c>
      <c r="AO388" s="7">
        <v>-0.6280007829766161</v>
      </c>
      <c r="AP388" s="7">
        <v>-0.16320829045129503</v>
      </c>
      <c r="AQ388" s="7">
        <v>-7.5121253697795543E-2</v>
      </c>
      <c r="AR388" s="7">
        <v>-9.5241713690236596E-2</v>
      </c>
      <c r="AS388" s="7">
        <v>-0.67420195862283561</v>
      </c>
      <c r="AT388" s="8">
        <v>0.14584045711282523</v>
      </c>
    </row>
    <row r="389" spans="1:46" x14ac:dyDescent="0.3">
      <c r="A389" t="str">
        <f t="shared" si="21"/>
        <v>202404 &amp; Segm SDC &gt; Les Eco-responsables</v>
      </c>
      <c r="B389">
        <v>202404</v>
      </c>
      <c r="C389" t="s">
        <v>59</v>
      </c>
      <c r="D389" t="s">
        <v>67</v>
      </c>
      <c r="E389" s="4">
        <v>0</v>
      </c>
      <c r="F389" s="4">
        <v>33523166.01909909</v>
      </c>
      <c r="H389" s="2">
        <v>663593.4684684684</v>
      </c>
      <c r="I389" s="2">
        <v>468105</v>
      </c>
      <c r="J389" s="3">
        <v>71.614629237241843</v>
      </c>
      <c r="K389" s="6">
        <v>1.4176167066544225</v>
      </c>
      <c r="L389" s="3">
        <v>50.517625040024022</v>
      </c>
      <c r="M389" s="53">
        <v>0.12326414871305896</v>
      </c>
      <c r="N389" s="53">
        <v>0.11608449278642771</v>
      </c>
      <c r="O389" s="4">
        <v>976123.49851351359</v>
      </c>
      <c r="P389" s="5">
        <v>2.9117879199040703E-2</v>
      </c>
      <c r="V389" s="4">
        <v>0</v>
      </c>
      <c r="W389" s="4">
        <v>8450090.2815315276</v>
      </c>
      <c r="Y389" s="2">
        <v>178449.32432432432</v>
      </c>
      <c r="Z389" s="2">
        <v>132803.25</v>
      </c>
      <c r="AA389" s="3">
        <v>63.628640726273851</v>
      </c>
      <c r="AB389" s="6">
        <v>1.3437120275620087</v>
      </c>
      <c r="AC389" s="3">
        <v>47.352884711257495</v>
      </c>
      <c r="AD389" s="4">
        <v>175768.67891891894</v>
      </c>
      <c r="AE389" s="5">
        <v>2.0800804850934912E-2</v>
      </c>
      <c r="AL389" s="7">
        <v>2.9671961958048123</v>
      </c>
      <c r="AN389" s="7">
        <v>2.7186661870594393</v>
      </c>
      <c r="AO389" s="7">
        <v>2.5248007861253394</v>
      </c>
      <c r="AP389" s="7">
        <v>0.12550933698746114</v>
      </c>
      <c r="AQ389" s="7">
        <v>5.5000385184096556E-2</v>
      </c>
      <c r="AR389" s="7">
        <v>6.6833105270440951E-2</v>
      </c>
      <c r="AS389" s="7">
        <v>4.5534552829164383</v>
      </c>
      <c r="AT389" s="8">
        <v>0.83170743481057918</v>
      </c>
    </row>
    <row r="390" spans="1:46" x14ac:dyDescent="0.3">
      <c r="A390" t="str">
        <f t="shared" si="21"/>
        <v>202404 &amp; Segm SDC &gt; Les Eco-responsables</v>
      </c>
      <c r="B390">
        <v>202404</v>
      </c>
      <c r="C390" t="s">
        <v>59</v>
      </c>
      <c r="D390" t="s">
        <v>67</v>
      </c>
      <c r="E390" s="4">
        <v>0</v>
      </c>
      <c r="F390" s="4">
        <v>33523166.01909909</v>
      </c>
      <c r="H390" s="2">
        <v>663593.4684684684</v>
      </c>
      <c r="I390" s="2">
        <v>468105</v>
      </c>
      <c r="J390" s="3">
        <v>71.614629237241843</v>
      </c>
      <c r="K390" s="6">
        <v>1.4176167066544225</v>
      </c>
      <c r="L390" s="3">
        <v>50.517625040024022</v>
      </c>
      <c r="M390" s="53">
        <v>0.12326414871305896</v>
      </c>
      <c r="N390" s="53">
        <v>0.11608449278642771</v>
      </c>
      <c r="O390" s="4">
        <v>976123.49851351359</v>
      </c>
      <c r="P390" s="5">
        <v>2.9117879199040703E-2</v>
      </c>
      <c r="V390" s="4">
        <v>0</v>
      </c>
      <c r="W390" s="4">
        <v>8450090.2815315276</v>
      </c>
      <c r="Y390" s="2">
        <v>178449.32432432432</v>
      </c>
      <c r="Z390" s="2">
        <v>132803.25</v>
      </c>
      <c r="AA390" s="3">
        <v>63.628640726273851</v>
      </c>
      <c r="AB390" s="6">
        <v>1.3437120275620087</v>
      </c>
      <c r="AC390" s="3">
        <v>47.352884711257495</v>
      </c>
      <c r="AD390" s="4">
        <v>175768.67891891894</v>
      </c>
      <c r="AE390" s="5">
        <v>2.0800804850934912E-2</v>
      </c>
      <c r="AL390" s="7">
        <v>2.9671961958048123</v>
      </c>
      <c r="AN390" s="7">
        <v>2.7186661870594393</v>
      </c>
      <c r="AO390" s="7">
        <v>2.5248007861253394</v>
      </c>
      <c r="AP390" s="7">
        <v>0.12550933698746114</v>
      </c>
      <c r="AQ390" s="7">
        <v>5.5000385184096556E-2</v>
      </c>
      <c r="AR390" s="7">
        <v>6.6833105270440951E-2</v>
      </c>
      <c r="AS390" s="7">
        <v>4.5534552829164383</v>
      </c>
      <c r="AT390" s="8">
        <v>0.83170743481057918</v>
      </c>
    </row>
    <row r="391" spans="1:46" x14ac:dyDescent="0.3">
      <c r="A391" t="str">
        <f t="shared" si="21"/>
        <v>202404 &amp; Segm SDC &gt; Les Eco-responsables</v>
      </c>
      <c r="B391">
        <v>202404</v>
      </c>
      <c r="C391" t="s">
        <v>59</v>
      </c>
      <c r="D391" t="s">
        <v>67</v>
      </c>
      <c r="E391" s="4">
        <v>0</v>
      </c>
      <c r="F391" s="4">
        <v>33523166.01909909</v>
      </c>
      <c r="H391" s="2">
        <v>663593.4684684684</v>
      </c>
      <c r="I391" s="2">
        <v>468105</v>
      </c>
      <c r="J391" s="3">
        <v>71.614629237241843</v>
      </c>
      <c r="K391" s="6">
        <v>1.4176167066544225</v>
      </c>
      <c r="L391" s="3">
        <v>50.517625040024022</v>
      </c>
      <c r="M391" s="53">
        <v>0.12326414871305896</v>
      </c>
      <c r="N391" s="53">
        <v>0.11608449278642771</v>
      </c>
      <c r="O391" s="4">
        <v>976123.49851351359</v>
      </c>
      <c r="P391" s="5">
        <v>2.9117879199040703E-2</v>
      </c>
      <c r="V391" s="4">
        <v>0</v>
      </c>
      <c r="W391" s="4">
        <v>8450090.2815315276</v>
      </c>
      <c r="Y391" s="2">
        <v>178449.32432432432</v>
      </c>
      <c r="Z391" s="2">
        <v>132803.25</v>
      </c>
      <c r="AA391" s="3">
        <v>63.628640726273851</v>
      </c>
      <c r="AB391" s="6">
        <v>1.3437120275620087</v>
      </c>
      <c r="AC391" s="3">
        <v>47.352884711257495</v>
      </c>
      <c r="AD391" s="4">
        <v>175768.67891891894</v>
      </c>
      <c r="AE391" s="5">
        <v>2.0800804850934912E-2</v>
      </c>
      <c r="AL391" s="7">
        <v>2.9671961958048123</v>
      </c>
      <c r="AN391" s="7">
        <v>2.7186661870594393</v>
      </c>
      <c r="AO391" s="7">
        <v>2.5248007861253394</v>
      </c>
      <c r="AP391" s="7">
        <v>0.12550933698746114</v>
      </c>
      <c r="AQ391" s="7">
        <v>5.5000385184096556E-2</v>
      </c>
      <c r="AR391" s="7">
        <v>6.6833105270440951E-2</v>
      </c>
      <c r="AS391" s="7">
        <v>4.5534552829164383</v>
      </c>
      <c r="AT391" s="8">
        <v>0.83170743481057918</v>
      </c>
    </row>
    <row r="392" spans="1:46" x14ac:dyDescent="0.3">
      <c r="A392" t="str">
        <f t="shared" si="21"/>
        <v>202404 &amp; Segm SDC &gt; Les Eco-responsables</v>
      </c>
      <c r="B392">
        <v>202404</v>
      </c>
      <c r="C392" t="s">
        <v>59</v>
      </c>
      <c r="D392" t="s">
        <v>67</v>
      </c>
      <c r="E392" s="4">
        <v>0</v>
      </c>
      <c r="F392" s="4">
        <v>33523166.01909909</v>
      </c>
      <c r="H392" s="2">
        <v>663593.4684684684</v>
      </c>
      <c r="I392" s="2">
        <v>468105</v>
      </c>
      <c r="J392" s="3">
        <v>71.614629237241843</v>
      </c>
      <c r="K392" s="6">
        <v>1.4176167066544225</v>
      </c>
      <c r="L392" s="3">
        <v>50.517625040024022</v>
      </c>
      <c r="M392" s="53">
        <v>0.12326414871305896</v>
      </c>
      <c r="N392" s="53">
        <v>0.11608449278642771</v>
      </c>
      <c r="O392" s="4">
        <v>976123.49851351359</v>
      </c>
      <c r="P392" s="5">
        <v>2.9117879199040703E-2</v>
      </c>
      <c r="V392" s="4">
        <v>0</v>
      </c>
      <c r="W392" s="4">
        <v>8450090.2815315276</v>
      </c>
      <c r="Y392" s="2">
        <v>178449.32432432432</v>
      </c>
      <c r="Z392" s="2">
        <v>132803.25</v>
      </c>
      <c r="AA392" s="3">
        <v>63.628640726273851</v>
      </c>
      <c r="AB392" s="6">
        <v>1.3437120275620087</v>
      </c>
      <c r="AC392" s="3">
        <v>47.352884711257495</v>
      </c>
      <c r="AD392" s="4">
        <v>175768.67891891894</v>
      </c>
      <c r="AE392" s="5">
        <v>2.0800804850934912E-2</v>
      </c>
      <c r="AL392" s="7">
        <v>2.9671961958048123</v>
      </c>
      <c r="AN392" s="7">
        <v>2.7186661870594393</v>
      </c>
      <c r="AO392" s="7">
        <v>2.5248007861253394</v>
      </c>
      <c r="AP392" s="7">
        <v>0.12550933698746114</v>
      </c>
      <c r="AQ392" s="7">
        <v>5.5000385184096556E-2</v>
      </c>
      <c r="AR392" s="7">
        <v>6.6833105270440951E-2</v>
      </c>
      <c r="AS392" s="7">
        <v>4.5534552829164383</v>
      </c>
      <c r="AT392" s="8">
        <v>0.83170743481057918</v>
      </c>
    </row>
    <row r="393" spans="1:46" x14ac:dyDescent="0.3">
      <c r="A393" t="str">
        <f t="shared" si="21"/>
        <v>202403 &amp; Segm SDC &gt; Les Eco-responsables</v>
      </c>
      <c r="B393">
        <v>202403</v>
      </c>
      <c r="C393" t="s">
        <v>59</v>
      </c>
      <c r="D393" t="s">
        <v>67</v>
      </c>
      <c r="E393" s="4">
        <v>0</v>
      </c>
      <c r="F393" s="4">
        <v>35194609.841891892</v>
      </c>
      <c r="H393" s="2">
        <v>686529.95495495491</v>
      </c>
      <c r="I393" s="2">
        <v>465094.5</v>
      </c>
      <c r="J393" s="3">
        <v>75.671954499337005</v>
      </c>
      <c r="K393" s="6">
        <v>1.4761085219346926</v>
      </c>
      <c r="L393" s="3">
        <v>51.264492667623088</v>
      </c>
      <c r="M393" s="53">
        <v>0.12218144758083252</v>
      </c>
      <c r="N393" s="53">
        <v>0.11481943683251618</v>
      </c>
      <c r="O393" s="4">
        <v>955052.78074324341</v>
      </c>
      <c r="P393" s="5">
        <v>2.7136336644552055E-2</v>
      </c>
      <c r="V393" s="4">
        <v>0</v>
      </c>
      <c r="W393" s="4">
        <v>8161126.6110360408</v>
      </c>
      <c r="Y393" s="2">
        <v>181418.24324324323</v>
      </c>
      <c r="Z393" s="2">
        <v>130222.5</v>
      </c>
      <c r="AA393" s="3">
        <v>62.670633807798502</v>
      </c>
      <c r="AB393" s="6">
        <v>1.3931405344179633</v>
      </c>
      <c r="AC393" s="3">
        <v>44.985148489690246</v>
      </c>
      <c r="AD393" s="4">
        <v>218173.41804054056</v>
      </c>
      <c r="AE393" s="5">
        <v>2.6733247557452589E-2</v>
      </c>
      <c r="AL393" s="7">
        <v>3.3124695301625762</v>
      </c>
      <c r="AN393" s="7">
        <v>2.7842387991513315</v>
      </c>
      <c r="AO393" s="7">
        <v>2.5715371767551689</v>
      </c>
      <c r="AP393" s="7">
        <v>0.20745475036061722</v>
      </c>
      <c r="AQ393" s="7">
        <v>5.9554643244511096E-2</v>
      </c>
      <c r="AR393" s="7">
        <v>0.13958705014327011</v>
      </c>
      <c r="AS393" s="7">
        <v>3.377493781418309</v>
      </c>
      <c r="AT393" s="8">
        <v>4.0308908709946537E-2</v>
      </c>
    </row>
    <row r="394" spans="1:46" x14ac:dyDescent="0.3">
      <c r="A394" t="str">
        <f t="shared" si="21"/>
        <v>202403 &amp; Segm SDC &gt; Les Eco-responsables</v>
      </c>
      <c r="B394">
        <v>202403</v>
      </c>
      <c r="C394" t="s">
        <v>59</v>
      </c>
      <c r="D394" t="s">
        <v>67</v>
      </c>
      <c r="E394" s="4">
        <v>0</v>
      </c>
      <c r="F394" s="4">
        <v>35194609.841891892</v>
      </c>
      <c r="H394" s="2">
        <v>686529.95495495491</v>
      </c>
      <c r="I394" s="2">
        <v>465094.5</v>
      </c>
      <c r="J394" s="3">
        <v>75.671954499337005</v>
      </c>
      <c r="K394" s="6">
        <v>1.4761085219346926</v>
      </c>
      <c r="L394" s="3">
        <v>51.264492667623088</v>
      </c>
      <c r="M394" s="53">
        <v>0.12218144758083252</v>
      </c>
      <c r="N394" s="53">
        <v>0.11481943683251618</v>
      </c>
      <c r="O394" s="4">
        <v>955052.78074324341</v>
      </c>
      <c r="P394" s="5">
        <v>2.7136336644552055E-2</v>
      </c>
      <c r="V394" s="4">
        <v>0</v>
      </c>
      <c r="W394" s="4">
        <v>8161126.6110360408</v>
      </c>
      <c r="Y394" s="2">
        <v>181418.24324324323</v>
      </c>
      <c r="Z394" s="2">
        <v>130222.5</v>
      </c>
      <c r="AA394" s="3">
        <v>62.670633807798502</v>
      </c>
      <c r="AB394" s="6">
        <v>1.3931405344179633</v>
      </c>
      <c r="AC394" s="3">
        <v>44.985148489690246</v>
      </c>
      <c r="AD394" s="4">
        <v>218173.41804054056</v>
      </c>
      <c r="AE394" s="5">
        <v>2.6733247557452589E-2</v>
      </c>
      <c r="AL394" s="7">
        <v>3.3124695301625762</v>
      </c>
      <c r="AN394" s="7">
        <v>2.7842387991513315</v>
      </c>
      <c r="AO394" s="7">
        <v>2.5715371767551689</v>
      </c>
      <c r="AP394" s="7">
        <v>0.20745475036061722</v>
      </c>
      <c r="AQ394" s="7">
        <v>5.9554643244511096E-2</v>
      </c>
      <c r="AR394" s="7">
        <v>0.13958705014327011</v>
      </c>
      <c r="AS394" s="7">
        <v>3.377493781418309</v>
      </c>
      <c r="AT394" s="8">
        <v>4.0308908709946537E-2</v>
      </c>
    </row>
    <row r="395" spans="1:46" x14ac:dyDescent="0.3">
      <c r="A395" t="str">
        <f t="shared" si="21"/>
        <v>202403 &amp; Segm SDC &gt; Les Eco-responsables</v>
      </c>
      <c r="B395">
        <v>202403</v>
      </c>
      <c r="C395" t="s">
        <v>59</v>
      </c>
      <c r="D395" t="s">
        <v>67</v>
      </c>
      <c r="E395" s="4">
        <v>0</v>
      </c>
      <c r="F395" s="4">
        <v>35194609.841891892</v>
      </c>
      <c r="H395" s="2">
        <v>686529.95495495491</v>
      </c>
      <c r="I395" s="2">
        <v>465094.5</v>
      </c>
      <c r="J395" s="3">
        <v>75.671954499337005</v>
      </c>
      <c r="K395" s="6">
        <v>1.4761085219346926</v>
      </c>
      <c r="L395" s="3">
        <v>51.264492667623088</v>
      </c>
      <c r="M395" s="53">
        <v>0.12218144758083252</v>
      </c>
      <c r="N395" s="53">
        <v>0.11481943683251618</v>
      </c>
      <c r="O395" s="4">
        <v>955052.78074324341</v>
      </c>
      <c r="P395" s="5">
        <v>2.7136336644552055E-2</v>
      </c>
      <c r="V395" s="4">
        <v>0</v>
      </c>
      <c r="W395" s="4">
        <v>8161126.6110360408</v>
      </c>
      <c r="Y395" s="2">
        <v>181418.24324324323</v>
      </c>
      <c r="Z395" s="2">
        <v>130222.5</v>
      </c>
      <c r="AA395" s="3">
        <v>62.670633807798502</v>
      </c>
      <c r="AB395" s="6">
        <v>1.3931405344179633</v>
      </c>
      <c r="AC395" s="3">
        <v>44.985148489690246</v>
      </c>
      <c r="AD395" s="4">
        <v>218173.41804054056</v>
      </c>
      <c r="AE395" s="5">
        <v>2.6733247557452589E-2</v>
      </c>
      <c r="AL395" s="7">
        <v>3.3124695301625762</v>
      </c>
      <c r="AN395" s="7">
        <v>2.7842387991513315</v>
      </c>
      <c r="AO395" s="7">
        <v>2.5715371767551689</v>
      </c>
      <c r="AP395" s="7">
        <v>0.20745475036061722</v>
      </c>
      <c r="AQ395" s="7">
        <v>5.9554643244511096E-2</v>
      </c>
      <c r="AR395" s="7">
        <v>0.13958705014327011</v>
      </c>
      <c r="AS395" s="7">
        <v>3.377493781418309</v>
      </c>
      <c r="AT395" s="8">
        <v>4.0308908709946537E-2</v>
      </c>
    </row>
    <row r="396" spans="1:46" x14ac:dyDescent="0.3">
      <c r="A396" t="str">
        <f t="shared" si="21"/>
        <v>202403 &amp; Segm SDC &gt; Les Eco-responsables</v>
      </c>
      <c r="B396">
        <v>202403</v>
      </c>
      <c r="C396" t="s">
        <v>59</v>
      </c>
      <c r="D396" t="s">
        <v>67</v>
      </c>
      <c r="E396" s="4">
        <v>0</v>
      </c>
      <c r="F396" s="4">
        <v>35194609.841891892</v>
      </c>
      <c r="H396" s="2">
        <v>686529.95495495491</v>
      </c>
      <c r="I396" s="2">
        <v>465094.5</v>
      </c>
      <c r="J396" s="3">
        <v>75.671954499337005</v>
      </c>
      <c r="K396" s="6">
        <v>1.4761085219346926</v>
      </c>
      <c r="L396" s="3">
        <v>51.264492667623088</v>
      </c>
      <c r="M396" s="53">
        <v>0.12218144758083252</v>
      </c>
      <c r="N396" s="53">
        <v>0.11481943683251618</v>
      </c>
      <c r="O396" s="4">
        <v>955052.78074324341</v>
      </c>
      <c r="P396" s="5">
        <v>2.7136336644552055E-2</v>
      </c>
      <c r="V396" s="4">
        <v>0</v>
      </c>
      <c r="W396" s="4">
        <v>8161126.6110360408</v>
      </c>
      <c r="Y396" s="2">
        <v>181418.24324324323</v>
      </c>
      <c r="Z396" s="2">
        <v>130222.5</v>
      </c>
      <c r="AA396" s="3">
        <v>62.670633807798502</v>
      </c>
      <c r="AB396" s="6">
        <v>1.3931405344179633</v>
      </c>
      <c r="AC396" s="3">
        <v>44.985148489690246</v>
      </c>
      <c r="AD396" s="4">
        <v>218173.41804054056</v>
      </c>
      <c r="AE396" s="5">
        <v>2.6733247557452589E-2</v>
      </c>
      <c r="AL396" s="7">
        <v>3.3124695301625762</v>
      </c>
      <c r="AN396" s="7">
        <v>2.7842387991513315</v>
      </c>
      <c r="AO396" s="7">
        <v>2.5715371767551689</v>
      </c>
      <c r="AP396" s="7">
        <v>0.20745475036061722</v>
      </c>
      <c r="AQ396" s="7">
        <v>5.9554643244511096E-2</v>
      </c>
      <c r="AR396" s="7">
        <v>0.13958705014327011</v>
      </c>
      <c r="AS396" s="7">
        <v>3.377493781418309</v>
      </c>
      <c r="AT396" s="8">
        <v>4.0308908709946537E-2</v>
      </c>
    </row>
    <row r="397" spans="1:46" x14ac:dyDescent="0.3">
      <c r="A397" t="str">
        <f t="shared" si="21"/>
        <v>202408 &amp; Segm SDC &gt; Les Eco-responsables</v>
      </c>
      <c r="B397">
        <v>202408</v>
      </c>
      <c r="C397" t="s">
        <v>59</v>
      </c>
      <c r="D397" t="s">
        <v>67</v>
      </c>
      <c r="E397" s="4">
        <v>0</v>
      </c>
      <c r="F397" s="4">
        <v>35669161.376801796</v>
      </c>
      <c r="H397" s="2">
        <v>680437.16216216213</v>
      </c>
      <c r="I397" s="2">
        <v>454729.5</v>
      </c>
      <c r="J397" s="3">
        <v>78.440394513225542</v>
      </c>
      <c r="K397" s="6">
        <v>1.4963558822600296</v>
      </c>
      <c r="L397" s="3">
        <v>52.420948414191848</v>
      </c>
      <c r="M397" s="53">
        <v>0.11890498589708366</v>
      </c>
      <c r="N397" s="53">
        <v>0.11097592873010786</v>
      </c>
      <c r="O397" s="4">
        <v>926739.47568806319</v>
      </c>
      <c r="P397" s="5">
        <v>2.598153250361496E-2</v>
      </c>
      <c r="V397" s="4">
        <v>0</v>
      </c>
      <c r="W397" s="4">
        <v>8332658.1240991009</v>
      </c>
      <c r="Y397" s="2">
        <v>180361.93693693692</v>
      </c>
      <c r="Z397" s="2">
        <v>131849.25</v>
      </c>
      <c r="AA397" s="3">
        <v>63.198373324831962</v>
      </c>
      <c r="AB397" s="6">
        <v>1.3679405604274346</v>
      </c>
      <c r="AC397" s="3">
        <v>46.199648693130818</v>
      </c>
      <c r="AD397" s="4">
        <v>204486.01200450456</v>
      </c>
      <c r="AE397" s="5">
        <v>2.4540309821796859E-2</v>
      </c>
      <c r="AL397" s="7">
        <v>3.2806462050377503</v>
      </c>
      <c r="AN397" s="7">
        <v>2.7726206189506337</v>
      </c>
      <c r="AO397" s="7">
        <v>2.4488592085279213</v>
      </c>
      <c r="AP397" s="7">
        <v>0.24117742888810501</v>
      </c>
      <c r="AQ397" s="7">
        <v>9.3874928156578274E-2</v>
      </c>
      <c r="AR397" s="7">
        <v>0.13466119109226127</v>
      </c>
      <c r="AS397" s="7">
        <v>3.5320433735469807</v>
      </c>
      <c r="AT397" s="8">
        <v>0.14412226818181009</v>
      </c>
    </row>
    <row r="398" spans="1:46" x14ac:dyDescent="0.3">
      <c r="A398" t="str">
        <f t="shared" si="21"/>
        <v>202408 &amp; Segm SDC &gt; Les Eco-responsables</v>
      </c>
      <c r="B398">
        <v>202408</v>
      </c>
      <c r="C398" t="s">
        <v>59</v>
      </c>
      <c r="D398" t="s">
        <v>67</v>
      </c>
      <c r="E398" s="4">
        <v>0</v>
      </c>
      <c r="F398" s="4">
        <v>35669161.376801796</v>
      </c>
      <c r="H398" s="2">
        <v>680437.16216216213</v>
      </c>
      <c r="I398" s="2">
        <v>454729.5</v>
      </c>
      <c r="J398" s="3">
        <v>78.440394513225542</v>
      </c>
      <c r="K398" s="6">
        <v>1.4963558822600296</v>
      </c>
      <c r="L398" s="3">
        <v>52.420948414191848</v>
      </c>
      <c r="M398" s="53">
        <v>0.11890498589708366</v>
      </c>
      <c r="N398" s="53">
        <v>0.11097592873010786</v>
      </c>
      <c r="O398" s="4">
        <v>926739.47568806319</v>
      </c>
      <c r="P398" s="5">
        <v>2.598153250361496E-2</v>
      </c>
      <c r="V398" s="4">
        <v>0</v>
      </c>
      <c r="W398" s="4">
        <v>8332658.1240991009</v>
      </c>
      <c r="Y398" s="2">
        <v>180361.93693693692</v>
      </c>
      <c r="Z398" s="2">
        <v>131849.25</v>
      </c>
      <c r="AA398" s="3">
        <v>63.198373324831962</v>
      </c>
      <c r="AB398" s="6">
        <v>1.3679405604274346</v>
      </c>
      <c r="AC398" s="3">
        <v>46.199648693130818</v>
      </c>
      <c r="AD398" s="4">
        <v>204486.01200450456</v>
      </c>
      <c r="AE398" s="5">
        <v>2.4540309821796859E-2</v>
      </c>
      <c r="AL398" s="7">
        <v>3.2806462050377503</v>
      </c>
      <c r="AN398" s="7">
        <v>2.7726206189506337</v>
      </c>
      <c r="AO398" s="7">
        <v>2.4488592085279213</v>
      </c>
      <c r="AP398" s="7">
        <v>0.24117742888810501</v>
      </c>
      <c r="AQ398" s="7">
        <v>9.3874928156578274E-2</v>
      </c>
      <c r="AR398" s="7">
        <v>0.13466119109226127</v>
      </c>
      <c r="AS398" s="7">
        <v>3.5320433735469807</v>
      </c>
      <c r="AT398" s="8">
        <v>0.14412226818181009</v>
      </c>
    </row>
    <row r="399" spans="1:46" x14ac:dyDescent="0.3">
      <c r="A399" t="str">
        <f t="shared" si="21"/>
        <v>202408 &amp; Segm SDC &gt; Les Eco-responsables</v>
      </c>
      <c r="B399">
        <v>202408</v>
      </c>
      <c r="C399" t="s">
        <v>59</v>
      </c>
      <c r="D399" t="s">
        <v>67</v>
      </c>
      <c r="E399" s="4">
        <v>0</v>
      </c>
      <c r="F399" s="4">
        <v>35669161.376801796</v>
      </c>
      <c r="H399" s="2">
        <v>680437.16216216213</v>
      </c>
      <c r="I399" s="2">
        <v>454729.5</v>
      </c>
      <c r="J399" s="3">
        <v>78.440394513225542</v>
      </c>
      <c r="K399" s="6">
        <v>1.4963558822600296</v>
      </c>
      <c r="L399" s="3">
        <v>52.420948414191848</v>
      </c>
      <c r="M399" s="53">
        <v>0.11890498589708366</v>
      </c>
      <c r="N399" s="53">
        <v>0.11097592873010786</v>
      </c>
      <c r="O399" s="4">
        <v>926739.47568806319</v>
      </c>
      <c r="P399" s="5">
        <v>2.598153250361496E-2</v>
      </c>
      <c r="V399" s="4">
        <v>0</v>
      </c>
      <c r="W399" s="4">
        <v>8332658.1240991009</v>
      </c>
      <c r="Y399" s="2">
        <v>180361.93693693692</v>
      </c>
      <c r="Z399" s="2">
        <v>131849.25</v>
      </c>
      <c r="AA399" s="3">
        <v>63.198373324831962</v>
      </c>
      <c r="AB399" s="6">
        <v>1.3679405604274346</v>
      </c>
      <c r="AC399" s="3">
        <v>46.199648693130818</v>
      </c>
      <c r="AD399" s="4">
        <v>204486.01200450456</v>
      </c>
      <c r="AE399" s="5">
        <v>2.4540309821796859E-2</v>
      </c>
      <c r="AL399" s="7">
        <v>3.2806462050377503</v>
      </c>
      <c r="AN399" s="7">
        <v>2.7726206189506337</v>
      </c>
      <c r="AO399" s="7">
        <v>2.4488592085279213</v>
      </c>
      <c r="AP399" s="7">
        <v>0.24117742888810501</v>
      </c>
      <c r="AQ399" s="7">
        <v>9.3874928156578274E-2</v>
      </c>
      <c r="AR399" s="7">
        <v>0.13466119109226127</v>
      </c>
      <c r="AS399" s="7">
        <v>3.5320433735469807</v>
      </c>
      <c r="AT399" s="8">
        <v>0.14412226818181009</v>
      </c>
    </row>
    <row r="400" spans="1:46" x14ac:dyDescent="0.3">
      <c r="A400" t="str">
        <f t="shared" si="21"/>
        <v>202408 &amp; Segm SDC &gt; Les Eco-responsables</v>
      </c>
      <c r="B400">
        <v>202408</v>
      </c>
      <c r="C400" t="s">
        <v>59</v>
      </c>
      <c r="D400" t="s">
        <v>67</v>
      </c>
      <c r="E400" s="4">
        <v>0</v>
      </c>
      <c r="F400" s="4">
        <v>35669161.376801796</v>
      </c>
      <c r="H400" s="2">
        <v>680437.16216216213</v>
      </c>
      <c r="I400" s="2">
        <v>454729.5</v>
      </c>
      <c r="J400" s="3">
        <v>78.440394513225542</v>
      </c>
      <c r="K400" s="6">
        <v>1.4963558822600296</v>
      </c>
      <c r="L400" s="3">
        <v>52.420948414191848</v>
      </c>
      <c r="M400" s="53">
        <v>0.11890498589708366</v>
      </c>
      <c r="N400" s="53">
        <v>0.11097592873010786</v>
      </c>
      <c r="O400" s="4">
        <v>926739.47568806319</v>
      </c>
      <c r="P400" s="5">
        <v>2.598153250361496E-2</v>
      </c>
      <c r="V400" s="4">
        <v>0</v>
      </c>
      <c r="W400" s="4">
        <v>8332658.1240991009</v>
      </c>
      <c r="Y400" s="2">
        <v>180361.93693693692</v>
      </c>
      <c r="Z400" s="2">
        <v>131849.25</v>
      </c>
      <c r="AA400" s="3">
        <v>63.198373324831962</v>
      </c>
      <c r="AB400" s="6">
        <v>1.3679405604274346</v>
      </c>
      <c r="AC400" s="3">
        <v>46.199648693130818</v>
      </c>
      <c r="AD400" s="4">
        <v>204486.01200450456</v>
      </c>
      <c r="AE400" s="5">
        <v>2.4540309821796859E-2</v>
      </c>
      <c r="AL400" s="7">
        <v>3.2806462050377503</v>
      </c>
      <c r="AN400" s="7">
        <v>2.7726206189506337</v>
      </c>
      <c r="AO400" s="7">
        <v>2.4488592085279213</v>
      </c>
      <c r="AP400" s="7">
        <v>0.24117742888810501</v>
      </c>
      <c r="AQ400" s="7">
        <v>9.3874928156578274E-2</v>
      </c>
      <c r="AR400" s="7">
        <v>0.13466119109226127</v>
      </c>
      <c r="AS400" s="7">
        <v>3.5320433735469807</v>
      </c>
      <c r="AT400" s="8">
        <v>0.14412226818181009</v>
      </c>
    </row>
    <row r="401" spans="1:46" x14ac:dyDescent="0.3">
      <c r="A401" t="str">
        <f t="shared" si="21"/>
        <v>202404 &amp; Segm SDC &gt; Les Eco-responsables</v>
      </c>
      <c r="B401">
        <v>202404</v>
      </c>
      <c r="C401" t="s">
        <v>59</v>
      </c>
      <c r="D401" t="s">
        <v>67</v>
      </c>
      <c r="E401" s="4">
        <v>0</v>
      </c>
      <c r="F401" s="4">
        <v>10884323.624684684</v>
      </c>
      <c r="H401" s="2">
        <v>235928.82882882882</v>
      </c>
      <c r="I401" s="2">
        <v>175117.5</v>
      </c>
      <c r="J401" s="3">
        <v>62.154402756347501</v>
      </c>
      <c r="K401" s="6">
        <v>1.3472601472087531</v>
      </c>
      <c r="L401" s="3">
        <v>46.133928094821691</v>
      </c>
      <c r="M401" s="53">
        <v>4.0021484997861477E-2</v>
      </c>
      <c r="N401" s="53">
        <v>4.3427064794281739E-2</v>
      </c>
      <c r="O401" s="4">
        <v>294027.06617117109</v>
      </c>
      <c r="P401" s="5">
        <v>2.7013811451208937E-2</v>
      </c>
      <c r="V401" s="4">
        <v>0</v>
      </c>
      <c r="W401" s="4">
        <v>33139238.278063077</v>
      </c>
      <c r="Y401" s="2">
        <v>630981.30630630627</v>
      </c>
      <c r="Z401" s="2">
        <v>449554.5</v>
      </c>
      <c r="AA401" s="3">
        <v>73.715730302028064</v>
      </c>
      <c r="AB401" s="6">
        <v>1.4035702151937224</v>
      </c>
      <c r="AC401" s="3">
        <v>52.520158595595262</v>
      </c>
      <c r="AD401" s="4">
        <v>743769.81150900922</v>
      </c>
      <c r="AE401" s="5">
        <v>2.2443781153574573E-2</v>
      </c>
      <c r="AL401" s="7">
        <v>-0.67155782117388929</v>
      </c>
      <c r="AN401" s="7">
        <v>-0.62609220515591868</v>
      </c>
      <c r="AO401" s="7">
        <v>-0.61046435971611901</v>
      </c>
      <c r="AP401" s="7">
        <v>-0.15683664122042196</v>
      </c>
      <c r="AQ401" s="7">
        <v>-4.011916708933394E-2</v>
      </c>
      <c r="AR401" s="7">
        <v>-0.12159579619603755</v>
      </c>
      <c r="AS401" s="7">
        <v>-0.60468002112827146</v>
      </c>
      <c r="AT401" s="8">
        <v>0.45700302976343643</v>
      </c>
    </row>
    <row r="402" spans="1:46" x14ac:dyDescent="0.3">
      <c r="A402" t="str">
        <f t="shared" si="21"/>
        <v>202404 &amp; Segm SDC &gt; Les Eco-responsables</v>
      </c>
      <c r="B402">
        <v>202404</v>
      </c>
      <c r="C402" t="s">
        <v>59</v>
      </c>
      <c r="D402" t="s">
        <v>67</v>
      </c>
      <c r="E402" s="4">
        <v>0</v>
      </c>
      <c r="F402" s="4">
        <v>10884323.624684684</v>
      </c>
      <c r="H402" s="2">
        <v>235928.82882882882</v>
      </c>
      <c r="I402" s="2">
        <v>175117.5</v>
      </c>
      <c r="J402" s="3">
        <v>62.154402756347501</v>
      </c>
      <c r="K402" s="6">
        <v>1.3472601472087531</v>
      </c>
      <c r="L402" s="3">
        <v>46.133928094821691</v>
      </c>
      <c r="M402" s="53">
        <v>4.0021484997861477E-2</v>
      </c>
      <c r="N402" s="53">
        <v>4.3427064794281739E-2</v>
      </c>
      <c r="O402" s="4">
        <v>294027.06617117109</v>
      </c>
      <c r="P402" s="5">
        <v>2.7013811451208937E-2</v>
      </c>
      <c r="V402" s="4">
        <v>0</v>
      </c>
      <c r="W402" s="4">
        <v>33139238.278063077</v>
      </c>
      <c r="Y402" s="2">
        <v>630981.30630630627</v>
      </c>
      <c r="Z402" s="2">
        <v>449554.5</v>
      </c>
      <c r="AA402" s="3">
        <v>73.715730302028064</v>
      </c>
      <c r="AB402" s="6">
        <v>1.4035702151937224</v>
      </c>
      <c r="AC402" s="3">
        <v>52.520158595595262</v>
      </c>
      <c r="AD402" s="4">
        <v>743769.81150900922</v>
      </c>
      <c r="AE402" s="5">
        <v>2.2443781153574573E-2</v>
      </c>
      <c r="AL402" s="7">
        <v>-0.67155782117388929</v>
      </c>
      <c r="AN402" s="7">
        <v>-0.62609220515591868</v>
      </c>
      <c r="AO402" s="7">
        <v>-0.61046435971611901</v>
      </c>
      <c r="AP402" s="7">
        <v>-0.15683664122042196</v>
      </c>
      <c r="AQ402" s="7">
        <v>-4.011916708933394E-2</v>
      </c>
      <c r="AR402" s="7">
        <v>-0.12159579619603755</v>
      </c>
      <c r="AS402" s="7">
        <v>-0.60468002112827146</v>
      </c>
      <c r="AT402" s="8">
        <v>0.45700302976343643</v>
      </c>
    </row>
    <row r="403" spans="1:46" x14ac:dyDescent="0.3">
      <c r="A403" t="str">
        <f t="shared" si="21"/>
        <v>202404 &amp; Segm SDC &gt; Les Eco-responsables</v>
      </c>
      <c r="B403">
        <v>202404</v>
      </c>
      <c r="C403" t="s">
        <v>59</v>
      </c>
      <c r="D403" t="s">
        <v>67</v>
      </c>
      <c r="E403" s="4">
        <v>0</v>
      </c>
      <c r="F403" s="4">
        <v>10884323.624684684</v>
      </c>
      <c r="H403" s="2">
        <v>235928.82882882882</v>
      </c>
      <c r="I403" s="2">
        <v>175117.5</v>
      </c>
      <c r="J403" s="3">
        <v>62.154402756347501</v>
      </c>
      <c r="K403" s="6">
        <v>1.3472601472087531</v>
      </c>
      <c r="L403" s="3">
        <v>46.133928094821691</v>
      </c>
      <c r="M403" s="53">
        <v>4.0021484997861477E-2</v>
      </c>
      <c r="N403" s="53">
        <v>4.3427064794281739E-2</v>
      </c>
      <c r="O403" s="4">
        <v>294027.06617117109</v>
      </c>
      <c r="P403" s="5">
        <v>2.7013811451208937E-2</v>
      </c>
      <c r="V403" s="4">
        <v>0</v>
      </c>
      <c r="W403" s="4">
        <v>33139238.278063077</v>
      </c>
      <c r="Y403" s="2">
        <v>630981.30630630627</v>
      </c>
      <c r="Z403" s="2">
        <v>449554.5</v>
      </c>
      <c r="AA403" s="3">
        <v>73.715730302028064</v>
      </c>
      <c r="AB403" s="6">
        <v>1.4035702151937224</v>
      </c>
      <c r="AC403" s="3">
        <v>52.520158595595262</v>
      </c>
      <c r="AD403" s="4">
        <v>743769.81150900922</v>
      </c>
      <c r="AE403" s="5">
        <v>2.2443781153574573E-2</v>
      </c>
      <c r="AL403" s="7">
        <v>-0.67155782117388929</v>
      </c>
      <c r="AN403" s="7">
        <v>-0.62609220515591868</v>
      </c>
      <c r="AO403" s="7">
        <v>-0.61046435971611901</v>
      </c>
      <c r="AP403" s="7">
        <v>-0.15683664122042196</v>
      </c>
      <c r="AQ403" s="7">
        <v>-4.011916708933394E-2</v>
      </c>
      <c r="AR403" s="7">
        <v>-0.12159579619603755</v>
      </c>
      <c r="AS403" s="7">
        <v>-0.60468002112827146</v>
      </c>
      <c r="AT403" s="8">
        <v>0.45700302976343643</v>
      </c>
    </row>
    <row r="404" spans="1:46" x14ac:dyDescent="0.3">
      <c r="A404" t="str">
        <f t="shared" si="21"/>
        <v>202404 &amp; Segm SDC &gt; Les Eco-responsables</v>
      </c>
      <c r="B404">
        <v>202404</v>
      </c>
      <c r="C404" t="s">
        <v>59</v>
      </c>
      <c r="D404" t="s">
        <v>67</v>
      </c>
      <c r="E404" s="4">
        <v>0</v>
      </c>
      <c r="F404" s="4">
        <v>10884323.624684684</v>
      </c>
      <c r="H404" s="2">
        <v>235928.82882882882</v>
      </c>
      <c r="I404" s="2">
        <v>175117.5</v>
      </c>
      <c r="J404" s="3">
        <v>62.154402756347501</v>
      </c>
      <c r="K404" s="6">
        <v>1.3472601472087531</v>
      </c>
      <c r="L404" s="3">
        <v>46.133928094821691</v>
      </c>
      <c r="M404" s="53">
        <v>4.0021484997861477E-2</v>
      </c>
      <c r="N404" s="53">
        <v>4.3427064794281739E-2</v>
      </c>
      <c r="O404" s="4">
        <v>294027.06617117109</v>
      </c>
      <c r="P404" s="5">
        <v>2.7013811451208937E-2</v>
      </c>
      <c r="V404" s="4">
        <v>0</v>
      </c>
      <c r="W404" s="4">
        <v>33139238.278063077</v>
      </c>
      <c r="Y404" s="2">
        <v>630981.30630630627</v>
      </c>
      <c r="Z404" s="2">
        <v>449554.5</v>
      </c>
      <c r="AA404" s="3">
        <v>73.715730302028064</v>
      </c>
      <c r="AB404" s="6">
        <v>1.4035702151937224</v>
      </c>
      <c r="AC404" s="3">
        <v>52.520158595595262</v>
      </c>
      <c r="AD404" s="4">
        <v>743769.81150900922</v>
      </c>
      <c r="AE404" s="5">
        <v>2.2443781153574573E-2</v>
      </c>
      <c r="AL404" s="7">
        <v>-0.67155782117388929</v>
      </c>
      <c r="AN404" s="7">
        <v>-0.62609220515591868</v>
      </c>
      <c r="AO404" s="7">
        <v>-0.61046435971611901</v>
      </c>
      <c r="AP404" s="7">
        <v>-0.15683664122042196</v>
      </c>
      <c r="AQ404" s="7">
        <v>-4.011916708933394E-2</v>
      </c>
      <c r="AR404" s="7">
        <v>-0.12159579619603755</v>
      </c>
      <c r="AS404" s="7">
        <v>-0.60468002112827146</v>
      </c>
      <c r="AT404" s="8">
        <v>0.45700302976343643</v>
      </c>
    </row>
    <row r="405" spans="1:46" x14ac:dyDescent="0.3">
      <c r="A405" t="str">
        <f t="shared" si="21"/>
        <v>202401 &amp; Segm SDC &gt; Les Eco-responsables</v>
      </c>
      <c r="B405">
        <v>202401</v>
      </c>
      <c r="C405" t="s">
        <v>59</v>
      </c>
      <c r="D405" t="s">
        <v>67</v>
      </c>
      <c r="E405" s="4">
        <v>0</v>
      </c>
      <c r="F405" s="4">
        <v>32987835.721621618</v>
      </c>
      <c r="H405" s="2">
        <v>651568.4684684684</v>
      </c>
      <c r="I405" s="2">
        <v>451362.75</v>
      </c>
      <c r="J405" s="3">
        <v>73.084975934814338</v>
      </c>
      <c r="K405" s="6">
        <v>1.4435583540477552</v>
      </c>
      <c r="L405" s="3">
        <v>50.628348850521469</v>
      </c>
      <c r="M405" s="53">
        <v>0.12296710333443997</v>
      </c>
      <c r="N405" s="53">
        <v>0.11454900695592424</v>
      </c>
      <c r="O405" s="4">
        <v>1430916.359954956</v>
      </c>
      <c r="P405" s="5">
        <v>4.337709124145641E-2</v>
      </c>
      <c r="V405" s="4">
        <v>0</v>
      </c>
      <c r="W405" s="4">
        <v>7744679.5001801811</v>
      </c>
      <c r="Y405" s="2">
        <v>174157.20720720719</v>
      </c>
      <c r="Z405" s="2">
        <v>130698</v>
      </c>
      <c r="AA405" s="3">
        <v>59.256296960781199</v>
      </c>
      <c r="AB405" s="6">
        <v>1.3325162374880044</v>
      </c>
      <c r="AC405" s="3">
        <v>44.469474587783132</v>
      </c>
      <c r="AD405" s="4">
        <v>254239.93957207209</v>
      </c>
      <c r="AE405" s="5">
        <v>3.2827690231229993E-2</v>
      </c>
      <c r="AL405" s="7">
        <v>3.2594190916298285</v>
      </c>
      <c r="AN405" s="7">
        <v>2.7412661750670542</v>
      </c>
      <c r="AO405" s="7">
        <v>2.4534786301244091</v>
      </c>
      <c r="AP405" s="7">
        <v>0.2333706236011619</v>
      </c>
      <c r="AQ405" s="7">
        <v>8.3332655494751773E-2</v>
      </c>
      <c r="AR405" s="7">
        <v>0.1384966726013519</v>
      </c>
      <c r="AS405" s="7">
        <v>4.6282123192895073</v>
      </c>
      <c r="AT405" s="8">
        <v>1.0549401010226416</v>
      </c>
    </row>
    <row r="406" spans="1:46" x14ac:dyDescent="0.3">
      <c r="A406" t="str">
        <f t="shared" si="21"/>
        <v>202401 &amp; Segm SDC &gt; Les Eco-responsables</v>
      </c>
      <c r="B406">
        <v>202401</v>
      </c>
      <c r="C406" t="s">
        <v>59</v>
      </c>
      <c r="D406" t="s">
        <v>67</v>
      </c>
      <c r="E406" s="4">
        <v>0</v>
      </c>
      <c r="F406" s="4">
        <v>32987835.721621618</v>
      </c>
      <c r="H406" s="2">
        <v>651568.4684684684</v>
      </c>
      <c r="I406" s="2">
        <v>451362.75</v>
      </c>
      <c r="J406" s="3">
        <v>73.084975934814338</v>
      </c>
      <c r="K406" s="6">
        <v>1.4435583540477552</v>
      </c>
      <c r="L406" s="3">
        <v>50.628348850521469</v>
      </c>
      <c r="M406" s="53">
        <v>0.12296710333443997</v>
      </c>
      <c r="N406" s="53">
        <v>0.11454900695592424</v>
      </c>
      <c r="O406" s="4">
        <v>1430916.359954956</v>
      </c>
      <c r="P406" s="5">
        <v>4.337709124145641E-2</v>
      </c>
      <c r="V406" s="4">
        <v>0</v>
      </c>
      <c r="W406" s="4">
        <v>7744679.5001801811</v>
      </c>
      <c r="Y406" s="2">
        <v>174157.20720720719</v>
      </c>
      <c r="Z406" s="2">
        <v>130698</v>
      </c>
      <c r="AA406" s="3">
        <v>59.256296960781199</v>
      </c>
      <c r="AB406" s="6">
        <v>1.3325162374880044</v>
      </c>
      <c r="AC406" s="3">
        <v>44.469474587783132</v>
      </c>
      <c r="AD406" s="4">
        <v>254239.93957207209</v>
      </c>
      <c r="AE406" s="5">
        <v>3.2827690231229993E-2</v>
      </c>
      <c r="AL406" s="7">
        <v>3.2594190916298285</v>
      </c>
      <c r="AN406" s="7">
        <v>2.7412661750670542</v>
      </c>
      <c r="AO406" s="7">
        <v>2.4534786301244091</v>
      </c>
      <c r="AP406" s="7">
        <v>0.2333706236011619</v>
      </c>
      <c r="AQ406" s="7">
        <v>8.3332655494751773E-2</v>
      </c>
      <c r="AR406" s="7">
        <v>0.1384966726013519</v>
      </c>
      <c r="AS406" s="7">
        <v>4.6282123192895073</v>
      </c>
      <c r="AT406" s="8">
        <v>1.0549401010226416</v>
      </c>
    </row>
    <row r="407" spans="1:46" x14ac:dyDescent="0.3">
      <c r="A407" t="str">
        <f t="shared" si="21"/>
        <v>202401 &amp; Segm SDC &gt; Les Eco-responsables</v>
      </c>
      <c r="B407">
        <v>202401</v>
      </c>
      <c r="C407" t="s">
        <v>59</v>
      </c>
      <c r="D407" t="s">
        <v>67</v>
      </c>
      <c r="E407" s="4">
        <v>0</v>
      </c>
      <c r="F407" s="4">
        <v>32987835.721621618</v>
      </c>
      <c r="H407" s="2">
        <v>651568.4684684684</v>
      </c>
      <c r="I407" s="2">
        <v>451362.75</v>
      </c>
      <c r="J407" s="3">
        <v>73.084975934814338</v>
      </c>
      <c r="K407" s="6">
        <v>1.4435583540477552</v>
      </c>
      <c r="L407" s="3">
        <v>50.628348850521469</v>
      </c>
      <c r="M407" s="53">
        <v>0.12296710333443997</v>
      </c>
      <c r="N407" s="53">
        <v>0.11454900695592424</v>
      </c>
      <c r="O407" s="4">
        <v>1430916.359954956</v>
      </c>
      <c r="P407" s="5">
        <v>4.337709124145641E-2</v>
      </c>
      <c r="V407" s="4">
        <v>0</v>
      </c>
      <c r="W407" s="4">
        <v>7744679.5001801811</v>
      </c>
      <c r="Y407" s="2">
        <v>174157.20720720719</v>
      </c>
      <c r="Z407" s="2">
        <v>130698</v>
      </c>
      <c r="AA407" s="3">
        <v>59.256296960781199</v>
      </c>
      <c r="AB407" s="6">
        <v>1.3325162374880044</v>
      </c>
      <c r="AC407" s="3">
        <v>44.469474587783132</v>
      </c>
      <c r="AD407" s="4">
        <v>254239.93957207209</v>
      </c>
      <c r="AE407" s="5">
        <v>3.2827690231229993E-2</v>
      </c>
      <c r="AL407" s="7">
        <v>3.2594190916298285</v>
      </c>
      <c r="AN407" s="7">
        <v>2.7412661750670542</v>
      </c>
      <c r="AO407" s="7">
        <v>2.4534786301244091</v>
      </c>
      <c r="AP407" s="7">
        <v>0.2333706236011619</v>
      </c>
      <c r="AQ407" s="7">
        <v>8.3332655494751773E-2</v>
      </c>
      <c r="AR407" s="7">
        <v>0.1384966726013519</v>
      </c>
      <c r="AS407" s="7">
        <v>4.6282123192895073</v>
      </c>
      <c r="AT407" s="8">
        <v>1.0549401010226416</v>
      </c>
    </row>
    <row r="408" spans="1:46" x14ac:dyDescent="0.3">
      <c r="A408" t="str">
        <f t="shared" si="21"/>
        <v>202401 &amp; Segm SDC &gt; Les Eco-responsables</v>
      </c>
      <c r="B408">
        <v>202401</v>
      </c>
      <c r="C408" t="s">
        <v>59</v>
      </c>
      <c r="D408" t="s">
        <v>67</v>
      </c>
      <c r="E408" s="4">
        <v>0</v>
      </c>
      <c r="F408" s="4">
        <v>32987835.721621618</v>
      </c>
      <c r="H408" s="2">
        <v>651568.4684684684</v>
      </c>
      <c r="I408" s="2">
        <v>451362.75</v>
      </c>
      <c r="J408" s="3">
        <v>73.084975934814338</v>
      </c>
      <c r="K408" s="6">
        <v>1.4435583540477552</v>
      </c>
      <c r="L408" s="3">
        <v>50.628348850521469</v>
      </c>
      <c r="M408" s="53">
        <v>0.12296710333443997</v>
      </c>
      <c r="N408" s="53">
        <v>0.11454900695592424</v>
      </c>
      <c r="O408" s="4">
        <v>1430916.359954956</v>
      </c>
      <c r="P408" s="5">
        <v>4.337709124145641E-2</v>
      </c>
      <c r="V408" s="4">
        <v>0</v>
      </c>
      <c r="W408" s="4">
        <v>7744679.5001801811</v>
      </c>
      <c r="Y408" s="2">
        <v>174157.20720720719</v>
      </c>
      <c r="Z408" s="2">
        <v>130698</v>
      </c>
      <c r="AA408" s="3">
        <v>59.256296960781199</v>
      </c>
      <c r="AB408" s="6">
        <v>1.3325162374880044</v>
      </c>
      <c r="AC408" s="3">
        <v>44.469474587783132</v>
      </c>
      <c r="AD408" s="4">
        <v>254239.93957207209</v>
      </c>
      <c r="AE408" s="5">
        <v>3.2827690231229993E-2</v>
      </c>
      <c r="AL408" s="7">
        <v>3.2594190916298285</v>
      </c>
      <c r="AN408" s="7">
        <v>2.7412661750670542</v>
      </c>
      <c r="AO408" s="7">
        <v>2.4534786301244091</v>
      </c>
      <c r="AP408" s="7">
        <v>0.2333706236011619</v>
      </c>
      <c r="AQ408" s="7">
        <v>8.3332655494751773E-2</v>
      </c>
      <c r="AR408" s="7">
        <v>0.1384966726013519</v>
      </c>
      <c r="AS408" s="7">
        <v>4.6282123192895073</v>
      </c>
      <c r="AT408" s="8">
        <v>1.0549401010226416</v>
      </c>
    </row>
    <row r="409" spans="1:46" x14ac:dyDescent="0.3">
      <c r="A409" t="str">
        <f t="shared" si="21"/>
        <v>202403 &amp; Segm SDC &gt; Les Eco-responsables</v>
      </c>
      <c r="B409">
        <v>202403</v>
      </c>
      <c r="C409" t="s">
        <v>59</v>
      </c>
      <c r="D409" t="s">
        <v>67</v>
      </c>
      <c r="E409" s="4">
        <v>0</v>
      </c>
      <c r="F409" s="4">
        <v>11441289.546486489</v>
      </c>
      <c r="H409" s="2">
        <v>245434.00900900899</v>
      </c>
      <c r="I409" s="2">
        <v>174660.75</v>
      </c>
      <c r="J409" s="3">
        <v>65.505785051801794</v>
      </c>
      <c r="K409" s="6">
        <v>1.4052041400773156</v>
      </c>
      <c r="L409" s="3">
        <v>46.616561383172133</v>
      </c>
      <c r="M409" s="53">
        <v>3.9719528793219917E-2</v>
      </c>
      <c r="N409" s="53">
        <v>4.311908429737376E-2</v>
      </c>
      <c r="O409" s="4">
        <v>288364.92518018006</v>
      </c>
      <c r="P409" s="5">
        <v>2.5203883181921058E-2</v>
      </c>
      <c r="V409" s="4">
        <v>0</v>
      </c>
      <c r="W409" s="4">
        <v>8161126.6110360408</v>
      </c>
      <c r="Y409" s="2">
        <v>181418.24324324323</v>
      </c>
      <c r="Z409" s="2">
        <v>130222.5</v>
      </c>
      <c r="AA409" s="3">
        <v>62.670633807798502</v>
      </c>
      <c r="AB409" s="6">
        <v>1.3931405344179633</v>
      </c>
      <c r="AC409" s="3">
        <v>44.985148489690246</v>
      </c>
      <c r="AD409" s="4">
        <v>218173.41804054056</v>
      </c>
      <c r="AE409" s="5">
        <v>2.6733247557452589E-2</v>
      </c>
      <c r="AL409" s="7">
        <v>0.40192526005107987</v>
      </c>
      <c r="AN409" s="7">
        <v>0.35286289086117018</v>
      </c>
      <c r="AO409" s="7">
        <v>0.34124863214882217</v>
      </c>
      <c r="AP409" s="7">
        <v>4.5238911300917728E-2</v>
      </c>
      <c r="AQ409" s="7">
        <v>8.6592883928917619E-3</v>
      </c>
      <c r="AR409" s="7">
        <v>3.6265588716591024E-2</v>
      </c>
      <c r="AS409" s="7">
        <v>0.32172346095158422</v>
      </c>
      <c r="AT409" s="8">
        <v>-0.15293643755315312</v>
      </c>
    </row>
    <row r="410" spans="1:46" x14ac:dyDescent="0.3">
      <c r="A410" t="str">
        <f t="shared" si="21"/>
        <v>202403 &amp; Segm SDC &gt; Les Eco-responsables</v>
      </c>
      <c r="B410">
        <v>202403</v>
      </c>
      <c r="C410" t="s">
        <v>59</v>
      </c>
      <c r="D410" t="s">
        <v>67</v>
      </c>
      <c r="E410" s="4">
        <v>0</v>
      </c>
      <c r="F410" s="4">
        <v>11441289.546486489</v>
      </c>
      <c r="H410" s="2">
        <v>245434.00900900899</v>
      </c>
      <c r="I410" s="2">
        <v>174660.75</v>
      </c>
      <c r="J410" s="3">
        <v>65.505785051801794</v>
      </c>
      <c r="K410" s="6">
        <v>1.4052041400773156</v>
      </c>
      <c r="L410" s="3">
        <v>46.616561383172133</v>
      </c>
      <c r="M410" s="53">
        <v>3.9719528793219917E-2</v>
      </c>
      <c r="N410" s="53">
        <v>4.311908429737376E-2</v>
      </c>
      <c r="O410" s="4">
        <v>288364.92518018006</v>
      </c>
      <c r="P410" s="5">
        <v>2.5203883181921058E-2</v>
      </c>
      <c r="V410" s="4">
        <v>0</v>
      </c>
      <c r="W410" s="4">
        <v>8161126.6110360408</v>
      </c>
      <c r="Y410" s="2">
        <v>181418.24324324323</v>
      </c>
      <c r="Z410" s="2">
        <v>130222.5</v>
      </c>
      <c r="AA410" s="3">
        <v>62.670633807798502</v>
      </c>
      <c r="AB410" s="6">
        <v>1.3931405344179633</v>
      </c>
      <c r="AC410" s="3">
        <v>44.985148489690246</v>
      </c>
      <c r="AD410" s="4">
        <v>218173.41804054056</v>
      </c>
      <c r="AE410" s="5">
        <v>2.6733247557452589E-2</v>
      </c>
      <c r="AL410" s="7">
        <v>0.40192526005107987</v>
      </c>
      <c r="AN410" s="7">
        <v>0.35286289086117018</v>
      </c>
      <c r="AO410" s="7">
        <v>0.34124863214882217</v>
      </c>
      <c r="AP410" s="7">
        <v>4.5238911300917728E-2</v>
      </c>
      <c r="AQ410" s="7">
        <v>8.6592883928917619E-3</v>
      </c>
      <c r="AR410" s="7">
        <v>3.6265588716591024E-2</v>
      </c>
      <c r="AS410" s="7">
        <v>0.32172346095158422</v>
      </c>
      <c r="AT410" s="8">
        <v>-0.15293643755315312</v>
      </c>
    </row>
    <row r="411" spans="1:46" x14ac:dyDescent="0.3">
      <c r="A411" t="str">
        <f t="shared" si="21"/>
        <v>202403 &amp; Segm SDC &gt; Les Eco-responsables</v>
      </c>
      <c r="B411">
        <v>202403</v>
      </c>
      <c r="C411" t="s">
        <v>59</v>
      </c>
      <c r="D411" t="s">
        <v>67</v>
      </c>
      <c r="E411" s="4">
        <v>0</v>
      </c>
      <c r="F411" s="4">
        <v>11441289.546486489</v>
      </c>
      <c r="H411" s="2">
        <v>245434.00900900899</v>
      </c>
      <c r="I411" s="2">
        <v>174660.75</v>
      </c>
      <c r="J411" s="3">
        <v>65.505785051801794</v>
      </c>
      <c r="K411" s="6">
        <v>1.4052041400773156</v>
      </c>
      <c r="L411" s="3">
        <v>46.616561383172133</v>
      </c>
      <c r="M411" s="53">
        <v>3.9719528793219917E-2</v>
      </c>
      <c r="N411" s="53">
        <v>4.311908429737376E-2</v>
      </c>
      <c r="O411" s="4">
        <v>288364.92518018006</v>
      </c>
      <c r="P411" s="5">
        <v>2.5203883181921058E-2</v>
      </c>
      <c r="V411" s="4">
        <v>0</v>
      </c>
      <c r="W411" s="4">
        <v>8161126.6110360408</v>
      </c>
      <c r="Y411" s="2">
        <v>181418.24324324323</v>
      </c>
      <c r="Z411" s="2">
        <v>130222.5</v>
      </c>
      <c r="AA411" s="3">
        <v>62.670633807798502</v>
      </c>
      <c r="AB411" s="6">
        <v>1.3931405344179633</v>
      </c>
      <c r="AC411" s="3">
        <v>44.985148489690246</v>
      </c>
      <c r="AD411" s="4">
        <v>218173.41804054056</v>
      </c>
      <c r="AE411" s="5">
        <v>2.6733247557452589E-2</v>
      </c>
      <c r="AL411" s="7">
        <v>0.40192526005107987</v>
      </c>
      <c r="AN411" s="7">
        <v>0.35286289086117018</v>
      </c>
      <c r="AO411" s="7">
        <v>0.34124863214882217</v>
      </c>
      <c r="AP411" s="7">
        <v>4.5238911300917728E-2</v>
      </c>
      <c r="AQ411" s="7">
        <v>8.6592883928917619E-3</v>
      </c>
      <c r="AR411" s="7">
        <v>3.6265588716591024E-2</v>
      </c>
      <c r="AS411" s="7">
        <v>0.32172346095158422</v>
      </c>
      <c r="AT411" s="8">
        <v>-0.15293643755315312</v>
      </c>
    </row>
    <row r="412" spans="1:46" x14ac:dyDescent="0.3">
      <c r="A412" t="str">
        <f t="shared" si="21"/>
        <v>202403 &amp; Segm SDC &gt; Les Eco-responsables</v>
      </c>
      <c r="B412">
        <v>202403</v>
      </c>
      <c r="C412" t="s">
        <v>59</v>
      </c>
      <c r="D412" t="s">
        <v>67</v>
      </c>
      <c r="E412" s="4">
        <v>0</v>
      </c>
      <c r="F412" s="4">
        <v>11441289.546486489</v>
      </c>
      <c r="H412" s="2">
        <v>245434.00900900899</v>
      </c>
      <c r="I412" s="2">
        <v>174660.75</v>
      </c>
      <c r="J412" s="3">
        <v>65.505785051801794</v>
      </c>
      <c r="K412" s="6">
        <v>1.4052041400773156</v>
      </c>
      <c r="L412" s="3">
        <v>46.616561383172133</v>
      </c>
      <c r="M412" s="53">
        <v>3.9719528793219917E-2</v>
      </c>
      <c r="N412" s="53">
        <v>4.311908429737376E-2</v>
      </c>
      <c r="O412" s="4">
        <v>288364.92518018006</v>
      </c>
      <c r="P412" s="5">
        <v>2.5203883181921058E-2</v>
      </c>
      <c r="V412" s="4">
        <v>0</v>
      </c>
      <c r="W412" s="4">
        <v>8161126.6110360408</v>
      </c>
      <c r="Y412" s="2">
        <v>181418.24324324323</v>
      </c>
      <c r="Z412" s="2">
        <v>130222.5</v>
      </c>
      <c r="AA412" s="3">
        <v>62.670633807798502</v>
      </c>
      <c r="AB412" s="6">
        <v>1.3931405344179633</v>
      </c>
      <c r="AC412" s="3">
        <v>44.985148489690246</v>
      </c>
      <c r="AD412" s="4">
        <v>218173.41804054056</v>
      </c>
      <c r="AE412" s="5">
        <v>2.6733247557452589E-2</v>
      </c>
      <c r="AL412" s="7">
        <v>0.40192526005107987</v>
      </c>
      <c r="AN412" s="7">
        <v>0.35286289086117018</v>
      </c>
      <c r="AO412" s="7">
        <v>0.34124863214882217</v>
      </c>
      <c r="AP412" s="7">
        <v>4.5238911300917728E-2</v>
      </c>
      <c r="AQ412" s="7">
        <v>8.6592883928917619E-3</v>
      </c>
      <c r="AR412" s="7">
        <v>3.6265588716591024E-2</v>
      </c>
      <c r="AS412" s="7">
        <v>0.32172346095158422</v>
      </c>
      <c r="AT412" s="8">
        <v>-0.15293643755315312</v>
      </c>
    </row>
    <row r="413" spans="1:46" x14ac:dyDescent="0.3">
      <c r="A413" t="str">
        <f t="shared" si="21"/>
        <v>202410 &amp; Segm SDC &gt; Les Eco-responsables</v>
      </c>
      <c r="B413">
        <v>202410</v>
      </c>
      <c r="C413" t="s">
        <v>59</v>
      </c>
      <c r="D413" t="s">
        <v>67</v>
      </c>
      <c r="E413" s="4">
        <v>0</v>
      </c>
      <c r="F413" s="4">
        <v>22119294.805315308</v>
      </c>
      <c r="H413" s="2">
        <v>484632.20720720716</v>
      </c>
      <c r="I413" s="2">
        <v>339412.5</v>
      </c>
      <c r="J413" s="3">
        <v>65.169358244953585</v>
      </c>
      <c r="K413" s="6">
        <v>1.427856096069553</v>
      </c>
      <c r="L413" s="3">
        <v>45.641404917725751</v>
      </c>
      <c r="M413" s="53">
        <v>7.6750899059323363E-2</v>
      </c>
      <c r="N413" s="53">
        <v>8.2252880123083974E-2</v>
      </c>
      <c r="O413" s="4">
        <v>607027.66195945919</v>
      </c>
      <c r="P413" s="5">
        <v>2.7443355102513906E-2</v>
      </c>
      <c r="V413" s="4">
        <v>0</v>
      </c>
      <c r="W413" s="4">
        <v>8153423.4128378313</v>
      </c>
      <c r="Y413" s="2">
        <v>181115.3153153153</v>
      </c>
      <c r="Z413" s="2">
        <v>132847.5</v>
      </c>
      <c r="AA413" s="3">
        <v>61.374308231903733</v>
      </c>
      <c r="AB413" s="6">
        <v>1.3633325076897593</v>
      </c>
      <c r="AC413" s="3">
        <v>45.017857262059877</v>
      </c>
      <c r="AD413" s="4">
        <v>246656.44943400906</v>
      </c>
      <c r="AE413" s="5">
        <v>3.0251887697337099E-2</v>
      </c>
      <c r="AL413" s="7">
        <v>1.712884353643128</v>
      </c>
      <c r="AN413" s="7">
        <v>1.6758212377759429</v>
      </c>
      <c r="AO413" s="7">
        <v>1.5549031784565011</v>
      </c>
      <c r="AP413" s="7">
        <v>6.1834505713859844E-2</v>
      </c>
      <c r="AQ413" s="7">
        <v>4.732784409955304E-2</v>
      </c>
      <c r="AR413" s="7">
        <v>1.3851118058241907E-2</v>
      </c>
      <c r="AS413" s="7">
        <v>1.4610248925271443</v>
      </c>
      <c r="AT413" s="8">
        <v>-0.28085325948231932</v>
      </c>
    </row>
    <row r="414" spans="1:46" x14ac:dyDescent="0.3">
      <c r="A414" t="str">
        <f t="shared" si="21"/>
        <v>202410 &amp; Segm SDC &gt; Les Eco-responsables</v>
      </c>
      <c r="B414">
        <v>202410</v>
      </c>
      <c r="C414" t="s">
        <v>59</v>
      </c>
      <c r="D414" t="s">
        <v>67</v>
      </c>
      <c r="E414" s="4">
        <v>0</v>
      </c>
      <c r="F414" s="4">
        <v>22119294.805315308</v>
      </c>
      <c r="H414" s="2">
        <v>484632.20720720716</v>
      </c>
      <c r="I414" s="2">
        <v>339412.5</v>
      </c>
      <c r="J414" s="3">
        <v>65.169358244953585</v>
      </c>
      <c r="K414" s="6">
        <v>1.427856096069553</v>
      </c>
      <c r="L414" s="3">
        <v>45.641404917725751</v>
      </c>
      <c r="M414" s="53">
        <v>7.6750899059323363E-2</v>
      </c>
      <c r="N414" s="53">
        <v>8.2252880123083974E-2</v>
      </c>
      <c r="O414" s="4">
        <v>607027.66195945919</v>
      </c>
      <c r="P414" s="5">
        <v>2.7443355102513906E-2</v>
      </c>
      <c r="V414" s="4">
        <v>0</v>
      </c>
      <c r="W414" s="4">
        <v>8153423.4128378313</v>
      </c>
      <c r="Y414" s="2">
        <v>181115.3153153153</v>
      </c>
      <c r="Z414" s="2">
        <v>132847.5</v>
      </c>
      <c r="AA414" s="3">
        <v>61.374308231903733</v>
      </c>
      <c r="AB414" s="6">
        <v>1.3633325076897593</v>
      </c>
      <c r="AC414" s="3">
        <v>45.017857262059877</v>
      </c>
      <c r="AD414" s="4">
        <v>246656.44943400906</v>
      </c>
      <c r="AE414" s="5">
        <v>3.0251887697337099E-2</v>
      </c>
      <c r="AL414" s="7">
        <v>1.712884353643128</v>
      </c>
      <c r="AN414" s="7">
        <v>1.6758212377759429</v>
      </c>
      <c r="AO414" s="7">
        <v>1.5549031784565011</v>
      </c>
      <c r="AP414" s="7">
        <v>6.1834505713859844E-2</v>
      </c>
      <c r="AQ414" s="7">
        <v>4.732784409955304E-2</v>
      </c>
      <c r="AR414" s="7">
        <v>1.3851118058241907E-2</v>
      </c>
      <c r="AS414" s="7">
        <v>1.4610248925271443</v>
      </c>
      <c r="AT414" s="8">
        <v>-0.28085325948231932</v>
      </c>
    </row>
    <row r="415" spans="1:46" x14ac:dyDescent="0.3">
      <c r="A415" t="str">
        <f t="shared" si="21"/>
        <v>202410 &amp; Segm SDC &gt; Les Eco-responsables</v>
      </c>
      <c r="B415">
        <v>202410</v>
      </c>
      <c r="C415" t="s">
        <v>59</v>
      </c>
      <c r="D415" t="s">
        <v>67</v>
      </c>
      <c r="E415" s="4">
        <v>0</v>
      </c>
      <c r="F415" s="4">
        <v>22119294.805315308</v>
      </c>
      <c r="H415" s="2">
        <v>484632.20720720716</v>
      </c>
      <c r="I415" s="2">
        <v>339412.5</v>
      </c>
      <c r="J415" s="3">
        <v>65.169358244953585</v>
      </c>
      <c r="K415" s="6">
        <v>1.427856096069553</v>
      </c>
      <c r="L415" s="3">
        <v>45.641404917725751</v>
      </c>
      <c r="M415" s="53">
        <v>7.6750899059323363E-2</v>
      </c>
      <c r="N415" s="53">
        <v>8.2252880123083974E-2</v>
      </c>
      <c r="O415" s="4">
        <v>607027.66195945919</v>
      </c>
      <c r="P415" s="5">
        <v>2.7443355102513906E-2</v>
      </c>
      <c r="V415" s="4">
        <v>0</v>
      </c>
      <c r="W415" s="4">
        <v>8153423.4128378313</v>
      </c>
      <c r="Y415" s="2">
        <v>181115.3153153153</v>
      </c>
      <c r="Z415" s="2">
        <v>132847.5</v>
      </c>
      <c r="AA415" s="3">
        <v>61.374308231903733</v>
      </c>
      <c r="AB415" s="6">
        <v>1.3633325076897593</v>
      </c>
      <c r="AC415" s="3">
        <v>45.017857262059877</v>
      </c>
      <c r="AD415" s="4">
        <v>246656.44943400906</v>
      </c>
      <c r="AE415" s="5">
        <v>3.0251887697337099E-2</v>
      </c>
      <c r="AL415" s="7">
        <v>1.712884353643128</v>
      </c>
      <c r="AN415" s="7">
        <v>1.6758212377759429</v>
      </c>
      <c r="AO415" s="7">
        <v>1.5549031784565011</v>
      </c>
      <c r="AP415" s="7">
        <v>6.1834505713859844E-2</v>
      </c>
      <c r="AQ415" s="7">
        <v>4.732784409955304E-2</v>
      </c>
      <c r="AR415" s="7">
        <v>1.3851118058241907E-2</v>
      </c>
      <c r="AS415" s="7">
        <v>1.4610248925271443</v>
      </c>
      <c r="AT415" s="8">
        <v>-0.28085325948231932</v>
      </c>
    </row>
    <row r="416" spans="1:46" x14ac:dyDescent="0.3">
      <c r="A416" t="str">
        <f t="shared" si="21"/>
        <v>202410 &amp; Segm SDC &gt; Les Eco-responsables</v>
      </c>
      <c r="B416">
        <v>202410</v>
      </c>
      <c r="C416" t="s">
        <v>59</v>
      </c>
      <c r="D416" t="s">
        <v>67</v>
      </c>
      <c r="E416" s="4">
        <v>0</v>
      </c>
      <c r="F416" s="4">
        <v>22119294.805315308</v>
      </c>
      <c r="H416" s="2">
        <v>484632.20720720716</v>
      </c>
      <c r="I416" s="2">
        <v>339412.5</v>
      </c>
      <c r="J416" s="3">
        <v>65.169358244953585</v>
      </c>
      <c r="K416" s="6">
        <v>1.427856096069553</v>
      </c>
      <c r="L416" s="3">
        <v>45.641404917725751</v>
      </c>
      <c r="M416" s="53">
        <v>7.6750899059323363E-2</v>
      </c>
      <c r="N416" s="53">
        <v>8.2252880123083974E-2</v>
      </c>
      <c r="O416" s="4">
        <v>607027.66195945919</v>
      </c>
      <c r="P416" s="5">
        <v>2.7443355102513906E-2</v>
      </c>
      <c r="V416" s="4">
        <v>0</v>
      </c>
      <c r="W416" s="4">
        <v>8153423.4128378313</v>
      </c>
      <c r="Y416" s="2">
        <v>181115.3153153153</v>
      </c>
      <c r="Z416" s="2">
        <v>132847.5</v>
      </c>
      <c r="AA416" s="3">
        <v>61.374308231903733</v>
      </c>
      <c r="AB416" s="6">
        <v>1.3633325076897593</v>
      </c>
      <c r="AC416" s="3">
        <v>45.017857262059877</v>
      </c>
      <c r="AD416" s="4">
        <v>246656.44943400906</v>
      </c>
      <c r="AE416" s="5">
        <v>3.0251887697337099E-2</v>
      </c>
      <c r="AL416" s="7">
        <v>1.712884353643128</v>
      </c>
      <c r="AN416" s="7">
        <v>1.6758212377759429</v>
      </c>
      <c r="AO416" s="7">
        <v>1.5549031784565011</v>
      </c>
      <c r="AP416" s="7">
        <v>6.1834505713859844E-2</v>
      </c>
      <c r="AQ416" s="7">
        <v>4.732784409955304E-2</v>
      </c>
      <c r="AR416" s="7">
        <v>1.3851118058241907E-2</v>
      </c>
      <c r="AS416" s="7">
        <v>1.4610248925271443</v>
      </c>
      <c r="AT416" s="8">
        <v>-0.28085325948231932</v>
      </c>
    </row>
    <row r="417" spans="1:46" x14ac:dyDescent="0.3">
      <c r="A417" t="str">
        <f t="shared" si="21"/>
        <v>202406 &amp; Segm SDC &gt; Les Eco-responsables</v>
      </c>
      <c r="B417">
        <v>202406</v>
      </c>
      <c r="C417" t="s">
        <v>59</v>
      </c>
      <c r="D417" t="s">
        <v>67</v>
      </c>
      <c r="E417" s="4">
        <v>0</v>
      </c>
      <c r="F417" s="4">
        <v>33675182.390855849</v>
      </c>
      <c r="H417" s="2">
        <v>654042.79279279278</v>
      </c>
      <c r="I417" s="2">
        <v>454701</v>
      </c>
      <c r="J417" s="3">
        <v>74.060057908066725</v>
      </c>
      <c r="K417" s="6">
        <v>1.4384019230060914</v>
      </c>
      <c r="L417" s="3">
        <v>51.487735606811398</v>
      </c>
      <c r="M417" s="53">
        <v>0.12119412429867073</v>
      </c>
      <c r="N417" s="53">
        <v>0.11261574697548625</v>
      </c>
      <c r="O417" s="4">
        <v>1087952.6657207203</v>
      </c>
      <c r="P417" s="5">
        <v>3.2307253843297454E-2</v>
      </c>
      <c r="V417" s="4">
        <v>0</v>
      </c>
      <c r="W417" s="4">
        <v>8520493.4551801831</v>
      </c>
      <c r="Y417" s="2">
        <v>182147.29729729728</v>
      </c>
      <c r="Z417" s="2">
        <v>132186.75</v>
      </c>
      <c r="AA417" s="3">
        <v>64.457999422636405</v>
      </c>
      <c r="AB417" s="6">
        <v>1.3779542752756784</v>
      </c>
      <c r="AC417" s="3">
        <v>46.778039430764643</v>
      </c>
      <c r="AD417" s="4">
        <v>190900.36934684683</v>
      </c>
      <c r="AE417" s="5">
        <v>2.2404849009159865E-2</v>
      </c>
      <c r="AL417" s="7">
        <v>2.9522572921386887</v>
      </c>
      <c r="AN417" s="7">
        <v>2.5907356436108784</v>
      </c>
      <c r="AO417" s="7">
        <v>2.4398379565274131</v>
      </c>
      <c r="AP417" s="7">
        <v>0.14896612633711781</v>
      </c>
      <c r="AQ417" s="7">
        <v>4.3867673126032791E-2</v>
      </c>
      <c r="AR417" s="7">
        <v>0.10068177788890642</v>
      </c>
      <c r="AS417" s="7">
        <v>4.6990600355728986</v>
      </c>
      <c r="AT417" s="8">
        <v>0.99024048341375892</v>
      </c>
    </row>
    <row r="418" spans="1:46" x14ac:dyDescent="0.3">
      <c r="A418" t="str">
        <f t="shared" si="21"/>
        <v>202406 &amp; Segm SDC &gt; Les Eco-responsables</v>
      </c>
      <c r="B418">
        <v>202406</v>
      </c>
      <c r="C418" t="s">
        <v>59</v>
      </c>
      <c r="D418" t="s">
        <v>67</v>
      </c>
      <c r="E418" s="4">
        <v>0</v>
      </c>
      <c r="F418" s="4">
        <v>33675182.390855849</v>
      </c>
      <c r="H418" s="2">
        <v>654042.79279279278</v>
      </c>
      <c r="I418" s="2">
        <v>454701</v>
      </c>
      <c r="J418" s="3">
        <v>74.060057908066725</v>
      </c>
      <c r="K418" s="6">
        <v>1.4384019230060914</v>
      </c>
      <c r="L418" s="3">
        <v>51.487735606811398</v>
      </c>
      <c r="M418" s="53">
        <v>0.12119412429867073</v>
      </c>
      <c r="N418" s="53">
        <v>0.11261574697548625</v>
      </c>
      <c r="O418" s="4">
        <v>1087952.6657207203</v>
      </c>
      <c r="P418" s="5">
        <v>3.2307253843297454E-2</v>
      </c>
      <c r="V418" s="4">
        <v>0</v>
      </c>
      <c r="W418" s="4">
        <v>8520493.4551801831</v>
      </c>
      <c r="Y418" s="2">
        <v>182147.29729729728</v>
      </c>
      <c r="Z418" s="2">
        <v>132186.75</v>
      </c>
      <c r="AA418" s="3">
        <v>64.457999422636405</v>
      </c>
      <c r="AB418" s="6">
        <v>1.3779542752756784</v>
      </c>
      <c r="AC418" s="3">
        <v>46.778039430764643</v>
      </c>
      <c r="AD418" s="4">
        <v>190900.36934684683</v>
      </c>
      <c r="AE418" s="5">
        <v>2.2404849009159865E-2</v>
      </c>
      <c r="AL418" s="7">
        <v>2.9522572921386887</v>
      </c>
      <c r="AN418" s="7">
        <v>2.5907356436108784</v>
      </c>
      <c r="AO418" s="7">
        <v>2.4398379565274131</v>
      </c>
      <c r="AP418" s="7">
        <v>0.14896612633711781</v>
      </c>
      <c r="AQ418" s="7">
        <v>4.3867673126032791E-2</v>
      </c>
      <c r="AR418" s="7">
        <v>0.10068177788890642</v>
      </c>
      <c r="AS418" s="7">
        <v>4.6990600355728986</v>
      </c>
      <c r="AT418" s="8">
        <v>0.99024048341375892</v>
      </c>
    </row>
    <row r="419" spans="1:46" x14ac:dyDescent="0.3">
      <c r="A419" t="str">
        <f t="shared" si="21"/>
        <v>202406 &amp; Segm SDC &gt; Les Eco-responsables</v>
      </c>
      <c r="B419">
        <v>202406</v>
      </c>
      <c r="C419" t="s">
        <v>59</v>
      </c>
      <c r="D419" t="s">
        <v>67</v>
      </c>
      <c r="E419" s="4">
        <v>0</v>
      </c>
      <c r="F419" s="4">
        <v>33675182.390855849</v>
      </c>
      <c r="H419" s="2">
        <v>654042.79279279278</v>
      </c>
      <c r="I419" s="2">
        <v>454701</v>
      </c>
      <c r="J419" s="3">
        <v>74.060057908066725</v>
      </c>
      <c r="K419" s="6">
        <v>1.4384019230060914</v>
      </c>
      <c r="L419" s="3">
        <v>51.487735606811398</v>
      </c>
      <c r="M419" s="53">
        <v>0.12119412429867073</v>
      </c>
      <c r="N419" s="53">
        <v>0.11261574697548625</v>
      </c>
      <c r="O419" s="4">
        <v>1087952.6657207203</v>
      </c>
      <c r="P419" s="5">
        <v>3.2307253843297454E-2</v>
      </c>
      <c r="V419" s="4">
        <v>0</v>
      </c>
      <c r="W419" s="4">
        <v>8520493.4551801831</v>
      </c>
      <c r="Y419" s="2">
        <v>182147.29729729728</v>
      </c>
      <c r="Z419" s="2">
        <v>132186.75</v>
      </c>
      <c r="AA419" s="3">
        <v>64.457999422636405</v>
      </c>
      <c r="AB419" s="6">
        <v>1.3779542752756784</v>
      </c>
      <c r="AC419" s="3">
        <v>46.778039430764643</v>
      </c>
      <c r="AD419" s="4">
        <v>190900.36934684683</v>
      </c>
      <c r="AE419" s="5">
        <v>2.2404849009159865E-2</v>
      </c>
      <c r="AL419" s="7">
        <v>2.9522572921386887</v>
      </c>
      <c r="AN419" s="7">
        <v>2.5907356436108784</v>
      </c>
      <c r="AO419" s="7">
        <v>2.4398379565274131</v>
      </c>
      <c r="AP419" s="7">
        <v>0.14896612633711781</v>
      </c>
      <c r="AQ419" s="7">
        <v>4.3867673126032791E-2</v>
      </c>
      <c r="AR419" s="7">
        <v>0.10068177788890642</v>
      </c>
      <c r="AS419" s="7">
        <v>4.6990600355728986</v>
      </c>
      <c r="AT419" s="8">
        <v>0.99024048341375892</v>
      </c>
    </row>
    <row r="420" spans="1:46" x14ac:dyDescent="0.3">
      <c r="A420" t="str">
        <f t="shared" si="21"/>
        <v>202406 &amp; Segm SDC &gt; Les Eco-responsables</v>
      </c>
      <c r="B420">
        <v>202406</v>
      </c>
      <c r="C420" t="s">
        <v>59</v>
      </c>
      <c r="D420" t="s">
        <v>67</v>
      </c>
      <c r="E420" s="4">
        <v>0</v>
      </c>
      <c r="F420" s="4">
        <v>33675182.390855849</v>
      </c>
      <c r="H420" s="2">
        <v>654042.79279279278</v>
      </c>
      <c r="I420" s="2">
        <v>454701</v>
      </c>
      <c r="J420" s="3">
        <v>74.060057908066725</v>
      </c>
      <c r="K420" s="6">
        <v>1.4384019230060914</v>
      </c>
      <c r="L420" s="3">
        <v>51.487735606811398</v>
      </c>
      <c r="M420" s="53">
        <v>0.12119412429867073</v>
      </c>
      <c r="N420" s="53">
        <v>0.11261574697548625</v>
      </c>
      <c r="O420" s="4">
        <v>1087952.6657207203</v>
      </c>
      <c r="P420" s="5">
        <v>3.2307253843297454E-2</v>
      </c>
      <c r="V420" s="4">
        <v>0</v>
      </c>
      <c r="W420" s="4">
        <v>8520493.4551801831</v>
      </c>
      <c r="Y420" s="2">
        <v>182147.29729729728</v>
      </c>
      <c r="Z420" s="2">
        <v>132186.75</v>
      </c>
      <c r="AA420" s="3">
        <v>64.457999422636405</v>
      </c>
      <c r="AB420" s="6">
        <v>1.3779542752756784</v>
      </c>
      <c r="AC420" s="3">
        <v>46.778039430764643</v>
      </c>
      <c r="AD420" s="4">
        <v>190900.36934684683</v>
      </c>
      <c r="AE420" s="5">
        <v>2.2404849009159865E-2</v>
      </c>
      <c r="AL420" s="7">
        <v>2.9522572921386887</v>
      </c>
      <c r="AN420" s="7">
        <v>2.5907356436108784</v>
      </c>
      <c r="AO420" s="7">
        <v>2.4398379565274131</v>
      </c>
      <c r="AP420" s="7">
        <v>0.14896612633711781</v>
      </c>
      <c r="AQ420" s="7">
        <v>4.3867673126032791E-2</v>
      </c>
      <c r="AR420" s="7">
        <v>0.10068177788890642</v>
      </c>
      <c r="AS420" s="7">
        <v>4.6990600355728986</v>
      </c>
      <c r="AT420" s="8">
        <v>0.99024048341375892</v>
      </c>
    </row>
    <row r="421" spans="1:46" x14ac:dyDescent="0.3">
      <c r="A421" t="str">
        <f t="shared" si="21"/>
        <v>202401 &amp; Segm SDC &gt; Les Eco-responsables</v>
      </c>
      <c r="B421">
        <v>202401</v>
      </c>
      <c r="C421" t="s">
        <v>59</v>
      </c>
      <c r="D421" t="s">
        <v>67</v>
      </c>
      <c r="E421" s="4">
        <v>0</v>
      </c>
      <c r="F421" s="4">
        <v>8325343.1732882885</v>
      </c>
      <c r="H421" s="2">
        <v>181497.07207207204</v>
      </c>
      <c r="I421" s="2">
        <v>133124.25</v>
      </c>
      <c r="J421" s="3">
        <v>62.538141422680603</v>
      </c>
      <c r="K421" s="6">
        <v>1.3633659688003654</v>
      </c>
      <c r="L421" s="3">
        <v>45.870399330642179</v>
      </c>
      <c r="M421" s="53">
        <v>3.1033964850667992E-2</v>
      </c>
      <c r="N421" s="53">
        <v>3.3784911668612881E-2</v>
      </c>
      <c r="O421" s="4">
        <v>333045.26477477484</v>
      </c>
      <c r="P421" s="5">
        <v>4.0003788173362573E-2</v>
      </c>
      <c r="V421" s="4">
        <v>0</v>
      </c>
      <c r="W421" s="4">
        <v>7744679.5001801811</v>
      </c>
      <c r="Y421" s="2">
        <v>174157.20720720719</v>
      </c>
      <c r="Z421" s="2">
        <v>130698</v>
      </c>
      <c r="AA421" s="3">
        <v>59.256296960781199</v>
      </c>
      <c r="AB421" s="6">
        <v>1.3325162374880044</v>
      </c>
      <c r="AC421" s="3">
        <v>44.469474587783132</v>
      </c>
      <c r="AD421" s="4">
        <v>254239.93957207209</v>
      </c>
      <c r="AE421" s="5">
        <v>3.2827690231229993E-2</v>
      </c>
      <c r="AL421" s="7">
        <v>7.4975817023105851E-2</v>
      </c>
      <c r="AN421" s="7">
        <v>4.2145053785411779E-2</v>
      </c>
      <c r="AO421" s="7">
        <v>1.8563788275260507E-2</v>
      </c>
      <c r="AP421" s="7">
        <v>5.5383893868216072E-2</v>
      </c>
      <c r="AQ421" s="7">
        <v>2.31514862216744E-2</v>
      </c>
      <c r="AR421" s="7">
        <v>3.1503064874166764E-2</v>
      </c>
      <c r="AS421" s="7">
        <v>0.30996437985056624</v>
      </c>
      <c r="AT421" s="8">
        <v>0.71760979421325799</v>
      </c>
    </row>
    <row r="422" spans="1:46" x14ac:dyDescent="0.3">
      <c r="A422" t="str">
        <f t="shared" si="21"/>
        <v>202401 &amp; Segm SDC &gt; Les Eco-responsables</v>
      </c>
      <c r="B422">
        <v>202401</v>
      </c>
      <c r="C422" t="s">
        <v>59</v>
      </c>
      <c r="D422" t="s">
        <v>67</v>
      </c>
      <c r="E422" s="4">
        <v>0</v>
      </c>
      <c r="F422" s="4">
        <v>8325343.1732882885</v>
      </c>
      <c r="H422" s="2">
        <v>181497.07207207204</v>
      </c>
      <c r="I422" s="2">
        <v>133124.25</v>
      </c>
      <c r="J422" s="3">
        <v>62.538141422680603</v>
      </c>
      <c r="K422" s="6">
        <v>1.3633659688003654</v>
      </c>
      <c r="L422" s="3">
        <v>45.870399330642179</v>
      </c>
      <c r="M422" s="53">
        <v>3.1033964850667992E-2</v>
      </c>
      <c r="N422" s="53">
        <v>3.3784911668612881E-2</v>
      </c>
      <c r="O422" s="4">
        <v>333045.26477477484</v>
      </c>
      <c r="P422" s="5">
        <v>4.0003788173362573E-2</v>
      </c>
      <c r="V422" s="4">
        <v>0</v>
      </c>
      <c r="W422" s="4">
        <v>7744679.5001801811</v>
      </c>
      <c r="Y422" s="2">
        <v>174157.20720720719</v>
      </c>
      <c r="Z422" s="2">
        <v>130698</v>
      </c>
      <c r="AA422" s="3">
        <v>59.256296960781199</v>
      </c>
      <c r="AB422" s="6">
        <v>1.3325162374880044</v>
      </c>
      <c r="AC422" s="3">
        <v>44.469474587783132</v>
      </c>
      <c r="AD422" s="4">
        <v>254239.93957207209</v>
      </c>
      <c r="AE422" s="5">
        <v>3.2827690231229993E-2</v>
      </c>
      <c r="AL422" s="7">
        <v>7.4975817023105851E-2</v>
      </c>
      <c r="AN422" s="7">
        <v>4.2145053785411779E-2</v>
      </c>
      <c r="AO422" s="7">
        <v>1.8563788275260507E-2</v>
      </c>
      <c r="AP422" s="7">
        <v>5.5383893868216072E-2</v>
      </c>
      <c r="AQ422" s="7">
        <v>2.31514862216744E-2</v>
      </c>
      <c r="AR422" s="7">
        <v>3.1503064874166764E-2</v>
      </c>
      <c r="AS422" s="7">
        <v>0.30996437985056624</v>
      </c>
      <c r="AT422" s="8">
        <v>0.71760979421325799</v>
      </c>
    </row>
    <row r="423" spans="1:46" x14ac:dyDescent="0.3">
      <c r="A423" t="str">
        <f t="shared" si="21"/>
        <v>202401 &amp; Segm SDC &gt; Les Eco-responsables</v>
      </c>
      <c r="B423">
        <v>202401</v>
      </c>
      <c r="C423" t="s">
        <v>59</v>
      </c>
      <c r="D423" t="s">
        <v>67</v>
      </c>
      <c r="E423" s="4">
        <v>0</v>
      </c>
      <c r="F423" s="4">
        <v>8325343.1732882885</v>
      </c>
      <c r="H423" s="2">
        <v>181497.07207207204</v>
      </c>
      <c r="I423" s="2">
        <v>133124.25</v>
      </c>
      <c r="J423" s="3">
        <v>62.538141422680603</v>
      </c>
      <c r="K423" s="6">
        <v>1.3633659688003654</v>
      </c>
      <c r="L423" s="3">
        <v>45.870399330642179</v>
      </c>
      <c r="M423" s="53">
        <v>3.1033964850667992E-2</v>
      </c>
      <c r="N423" s="53">
        <v>3.3784911668612881E-2</v>
      </c>
      <c r="O423" s="4">
        <v>333045.26477477484</v>
      </c>
      <c r="P423" s="5">
        <v>4.0003788173362573E-2</v>
      </c>
      <c r="V423" s="4">
        <v>0</v>
      </c>
      <c r="W423" s="4">
        <v>7744679.5001801811</v>
      </c>
      <c r="Y423" s="2">
        <v>174157.20720720719</v>
      </c>
      <c r="Z423" s="2">
        <v>130698</v>
      </c>
      <c r="AA423" s="3">
        <v>59.256296960781199</v>
      </c>
      <c r="AB423" s="6">
        <v>1.3325162374880044</v>
      </c>
      <c r="AC423" s="3">
        <v>44.469474587783132</v>
      </c>
      <c r="AD423" s="4">
        <v>254239.93957207209</v>
      </c>
      <c r="AE423" s="5">
        <v>3.2827690231229993E-2</v>
      </c>
      <c r="AL423" s="7">
        <v>7.4975817023105851E-2</v>
      </c>
      <c r="AN423" s="7">
        <v>4.2145053785411779E-2</v>
      </c>
      <c r="AO423" s="7">
        <v>1.8563788275260507E-2</v>
      </c>
      <c r="AP423" s="7">
        <v>5.5383893868216072E-2</v>
      </c>
      <c r="AQ423" s="7">
        <v>2.31514862216744E-2</v>
      </c>
      <c r="AR423" s="7">
        <v>3.1503064874166764E-2</v>
      </c>
      <c r="AS423" s="7">
        <v>0.30996437985056624</v>
      </c>
      <c r="AT423" s="8">
        <v>0.71760979421325799</v>
      </c>
    </row>
    <row r="424" spans="1:46" x14ac:dyDescent="0.3">
      <c r="A424" t="str">
        <f t="shared" si="21"/>
        <v>202401 &amp; Segm SDC &gt; Les Eco-responsables</v>
      </c>
      <c r="B424">
        <v>202401</v>
      </c>
      <c r="C424" t="s">
        <v>59</v>
      </c>
      <c r="D424" t="s">
        <v>67</v>
      </c>
      <c r="E424" s="4">
        <v>0</v>
      </c>
      <c r="F424" s="4">
        <v>8325343.1732882885</v>
      </c>
      <c r="H424" s="2">
        <v>181497.07207207204</v>
      </c>
      <c r="I424" s="2">
        <v>133124.25</v>
      </c>
      <c r="J424" s="3">
        <v>62.538141422680603</v>
      </c>
      <c r="K424" s="6">
        <v>1.3633659688003654</v>
      </c>
      <c r="L424" s="3">
        <v>45.870399330642179</v>
      </c>
      <c r="M424" s="53">
        <v>3.1033964850667992E-2</v>
      </c>
      <c r="N424" s="53">
        <v>3.3784911668612881E-2</v>
      </c>
      <c r="O424" s="4">
        <v>333045.26477477484</v>
      </c>
      <c r="P424" s="5">
        <v>4.0003788173362573E-2</v>
      </c>
      <c r="V424" s="4">
        <v>0</v>
      </c>
      <c r="W424" s="4">
        <v>7744679.5001801811</v>
      </c>
      <c r="Y424" s="2">
        <v>174157.20720720719</v>
      </c>
      <c r="Z424" s="2">
        <v>130698</v>
      </c>
      <c r="AA424" s="3">
        <v>59.256296960781199</v>
      </c>
      <c r="AB424" s="6">
        <v>1.3325162374880044</v>
      </c>
      <c r="AC424" s="3">
        <v>44.469474587783132</v>
      </c>
      <c r="AD424" s="4">
        <v>254239.93957207209</v>
      </c>
      <c r="AE424" s="5">
        <v>3.2827690231229993E-2</v>
      </c>
      <c r="AL424" s="7">
        <v>7.4975817023105851E-2</v>
      </c>
      <c r="AN424" s="7">
        <v>4.2145053785411779E-2</v>
      </c>
      <c r="AO424" s="7">
        <v>1.8563788275260507E-2</v>
      </c>
      <c r="AP424" s="7">
        <v>5.5383893868216072E-2</v>
      </c>
      <c r="AQ424" s="7">
        <v>2.31514862216744E-2</v>
      </c>
      <c r="AR424" s="7">
        <v>3.1503064874166764E-2</v>
      </c>
      <c r="AS424" s="7">
        <v>0.30996437985056624</v>
      </c>
      <c r="AT424" s="8">
        <v>0.71760979421325799</v>
      </c>
    </row>
    <row r="425" spans="1:46" x14ac:dyDescent="0.3">
      <c r="A425" t="str">
        <f t="shared" si="21"/>
        <v>202407 &amp; Segm SDC &gt; Les Eco-responsables</v>
      </c>
      <c r="B425">
        <v>202407</v>
      </c>
      <c r="C425" t="s">
        <v>59</v>
      </c>
      <c r="D425" t="s">
        <v>67</v>
      </c>
      <c r="E425" s="4">
        <v>0</v>
      </c>
      <c r="F425" s="4">
        <v>11077904.718423413</v>
      </c>
      <c r="H425" s="2">
        <v>237688.51351351349</v>
      </c>
      <c r="I425" s="2">
        <v>170265.75</v>
      </c>
      <c r="J425" s="3">
        <v>65.062437503863308</v>
      </c>
      <c r="K425" s="6">
        <v>1.3959854727889403</v>
      </c>
      <c r="L425" s="3">
        <v>46.606815595207941</v>
      </c>
      <c r="M425" s="53">
        <v>3.8571642185991101E-2</v>
      </c>
      <c r="N425" s="53">
        <v>4.1834411130093535E-2</v>
      </c>
      <c r="O425" s="4">
        <v>155776.6563288288</v>
      </c>
      <c r="P425" s="5">
        <v>1.4061924189486858E-2</v>
      </c>
      <c r="V425" s="4">
        <v>0</v>
      </c>
      <c r="W425" s="4">
        <v>8404612.1992792804</v>
      </c>
      <c r="Y425" s="2">
        <v>180830.18018018018</v>
      </c>
      <c r="Z425" s="2">
        <v>132346.5</v>
      </c>
      <c r="AA425" s="3">
        <v>63.50460495199556</v>
      </c>
      <c r="AB425" s="6">
        <v>1.366338967635564</v>
      </c>
      <c r="AC425" s="3">
        <v>46.477928578652516</v>
      </c>
      <c r="AD425" s="4">
        <v>115116.69459459455</v>
      </c>
      <c r="AE425" s="5">
        <v>1.3696847857473559E-2</v>
      </c>
      <c r="AL425" s="7">
        <v>0.31807446384895366</v>
      </c>
      <c r="AN425" s="7">
        <v>0.31442944577436882</v>
      </c>
      <c r="AO425" s="7">
        <v>0.28651494372726138</v>
      </c>
      <c r="AP425" s="7">
        <v>2.4531017129314492E-2</v>
      </c>
      <c r="AQ425" s="7">
        <v>2.1697767432249382E-2</v>
      </c>
      <c r="AR425" s="7">
        <v>2.7730800510463727E-3</v>
      </c>
      <c r="AS425" s="7">
        <v>0.35320647346091794</v>
      </c>
      <c r="AT425" s="8">
        <v>3.6507633201329943E-2</v>
      </c>
    </row>
    <row r="426" spans="1:46" x14ac:dyDescent="0.3">
      <c r="A426" t="str">
        <f t="shared" si="21"/>
        <v>202407 &amp; Segm SDC &gt; Les Eco-responsables</v>
      </c>
      <c r="B426">
        <v>202407</v>
      </c>
      <c r="C426" t="s">
        <v>59</v>
      </c>
      <c r="D426" t="s">
        <v>67</v>
      </c>
      <c r="E426" s="4">
        <v>0</v>
      </c>
      <c r="F426" s="4">
        <v>11077904.718423413</v>
      </c>
      <c r="H426" s="2">
        <v>237688.51351351349</v>
      </c>
      <c r="I426" s="2">
        <v>170265.75</v>
      </c>
      <c r="J426" s="3">
        <v>65.062437503863308</v>
      </c>
      <c r="K426" s="6">
        <v>1.3959854727889403</v>
      </c>
      <c r="L426" s="3">
        <v>46.606815595207941</v>
      </c>
      <c r="M426" s="53">
        <v>3.8571642185991101E-2</v>
      </c>
      <c r="N426" s="53">
        <v>4.1834411130093535E-2</v>
      </c>
      <c r="O426" s="4">
        <v>155776.6563288288</v>
      </c>
      <c r="P426" s="5">
        <v>1.4061924189486858E-2</v>
      </c>
      <c r="V426" s="4">
        <v>0</v>
      </c>
      <c r="W426" s="4">
        <v>8404612.1992792804</v>
      </c>
      <c r="Y426" s="2">
        <v>180830.18018018018</v>
      </c>
      <c r="Z426" s="2">
        <v>132346.5</v>
      </c>
      <c r="AA426" s="3">
        <v>63.50460495199556</v>
      </c>
      <c r="AB426" s="6">
        <v>1.366338967635564</v>
      </c>
      <c r="AC426" s="3">
        <v>46.477928578652516</v>
      </c>
      <c r="AD426" s="4">
        <v>115116.69459459455</v>
      </c>
      <c r="AE426" s="5">
        <v>1.3696847857473559E-2</v>
      </c>
      <c r="AL426" s="7">
        <v>0.31807446384895366</v>
      </c>
      <c r="AN426" s="7">
        <v>0.31442944577436882</v>
      </c>
      <c r="AO426" s="7">
        <v>0.28651494372726138</v>
      </c>
      <c r="AP426" s="7">
        <v>2.4531017129314492E-2</v>
      </c>
      <c r="AQ426" s="7">
        <v>2.1697767432249382E-2</v>
      </c>
      <c r="AR426" s="7">
        <v>2.7730800510463727E-3</v>
      </c>
      <c r="AS426" s="7">
        <v>0.35320647346091794</v>
      </c>
      <c r="AT426" s="8">
        <v>3.6507633201329943E-2</v>
      </c>
    </row>
    <row r="427" spans="1:46" x14ac:dyDescent="0.3">
      <c r="A427" t="str">
        <f t="shared" si="21"/>
        <v>202407 &amp; Segm SDC &gt; Les Eco-responsables</v>
      </c>
      <c r="B427">
        <v>202407</v>
      </c>
      <c r="C427" t="s">
        <v>59</v>
      </c>
      <c r="D427" t="s">
        <v>67</v>
      </c>
      <c r="E427" s="4">
        <v>0</v>
      </c>
      <c r="F427" s="4">
        <v>11077904.718423413</v>
      </c>
      <c r="H427" s="2">
        <v>237688.51351351349</v>
      </c>
      <c r="I427" s="2">
        <v>170265.75</v>
      </c>
      <c r="J427" s="3">
        <v>65.062437503863308</v>
      </c>
      <c r="K427" s="6">
        <v>1.3959854727889403</v>
      </c>
      <c r="L427" s="3">
        <v>46.606815595207941</v>
      </c>
      <c r="M427" s="53">
        <v>3.8571642185991101E-2</v>
      </c>
      <c r="N427" s="53">
        <v>4.1834411130093535E-2</v>
      </c>
      <c r="O427" s="4">
        <v>155776.6563288288</v>
      </c>
      <c r="P427" s="5">
        <v>1.4061924189486858E-2</v>
      </c>
      <c r="V427" s="4">
        <v>0</v>
      </c>
      <c r="W427" s="4">
        <v>8404612.1992792804</v>
      </c>
      <c r="Y427" s="2">
        <v>180830.18018018018</v>
      </c>
      <c r="Z427" s="2">
        <v>132346.5</v>
      </c>
      <c r="AA427" s="3">
        <v>63.50460495199556</v>
      </c>
      <c r="AB427" s="6">
        <v>1.366338967635564</v>
      </c>
      <c r="AC427" s="3">
        <v>46.477928578652516</v>
      </c>
      <c r="AD427" s="4">
        <v>115116.69459459455</v>
      </c>
      <c r="AE427" s="5">
        <v>1.3696847857473559E-2</v>
      </c>
      <c r="AL427" s="7">
        <v>0.31807446384895366</v>
      </c>
      <c r="AN427" s="7">
        <v>0.31442944577436882</v>
      </c>
      <c r="AO427" s="7">
        <v>0.28651494372726138</v>
      </c>
      <c r="AP427" s="7">
        <v>2.4531017129314492E-2</v>
      </c>
      <c r="AQ427" s="7">
        <v>2.1697767432249382E-2</v>
      </c>
      <c r="AR427" s="7">
        <v>2.7730800510463727E-3</v>
      </c>
      <c r="AS427" s="7">
        <v>0.35320647346091794</v>
      </c>
      <c r="AT427" s="8">
        <v>3.6507633201329943E-2</v>
      </c>
    </row>
    <row r="428" spans="1:46" x14ac:dyDescent="0.3">
      <c r="A428" t="str">
        <f t="shared" si="21"/>
        <v>202407 &amp; Segm SDC &gt; Les Eco-responsables</v>
      </c>
      <c r="B428">
        <v>202407</v>
      </c>
      <c r="C428" t="s">
        <v>59</v>
      </c>
      <c r="D428" t="s">
        <v>67</v>
      </c>
      <c r="E428" s="4">
        <v>0</v>
      </c>
      <c r="F428" s="4">
        <v>11077904.718423413</v>
      </c>
      <c r="H428" s="2">
        <v>237688.51351351349</v>
      </c>
      <c r="I428" s="2">
        <v>170265.75</v>
      </c>
      <c r="J428" s="3">
        <v>65.062437503863308</v>
      </c>
      <c r="K428" s="6">
        <v>1.3959854727889403</v>
      </c>
      <c r="L428" s="3">
        <v>46.606815595207941</v>
      </c>
      <c r="M428" s="53">
        <v>3.8571642185991101E-2</v>
      </c>
      <c r="N428" s="53">
        <v>4.1834411130093535E-2</v>
      </c>
      <c r="O428" s="4">
        <v>155776.6563288288</v>
      </c>
      <c r="P428" s="5">
        <v>1.4061924189486858E-2</v>
      </c>
      <c r="V428" s="4">
        <v>0</v>
      </c>
      <c r="W428" s="4">
        <v>8404612.1992792804</v>
      </c>
      <c r="Y428" s="2">
        <v>180830.18018018018</v>
      </c>
      <c r="Z428" s="2">
        <v>132346.5</v>
      </c>
      <c r="AA428" s="3">
        <v>63.50460495199556</v>
      </c>
      <c r="AB428" s="6">
        <v>1.366338967635564</v>
      </c>
      <c r="AC428" s="3">
        <v>46.477928578652516</v>
      </c>
      <c r="AD428" s="4">
        <v>115116.69459459455</v>
      </c>
      <c r="AE428" s="5">
        <v>1.3696847857473559E-2</v>
      </c>
      <c r="AL428" s="7">
        <v>0.31807446384895366</v>
      </c>
      <c r="AN428" s="7">
        <v>0.31442944577436882</v>
      </c>
      <c r="AO428" s="7">
        <v>0.28651494372726138</v>
      </c>
      <c r="AP428" s="7">
        <v>2.4531017129314492E-2</v>
      </c>
      <c r="AQ428" s="7">
        <v>2.1697767432249382E-2</v>
      </c>
      <c r="AR428" s="7">
        <v>2.7730800510463727E-3</v>
      </c>
      <c r="AS428" s="7">
        <v>0.35320647346091794</v>
      </c>
      <c r="AT428" s="8">
        <v>3.6507633201329943E-2</v>
      </c>
    </row>
    <row r="429" spans="1:46" x14ac:dyDescent="0.3">
      <c r="A429" t="str">
        <f t="shared" si="21"/>
        <v>202409 &amp; Segm SDC &gt; Les Eco-responsables</v>
      </c>
      <c r="B429">
        <v>202409</v>
      </c>
      <c r="C429" t="s">
        <v>59</v>
      </c>
      <c r="D429" t="s">
        <v>67</v>
      </c>
      <c r="E429" s="4">
        <v>0</v>
      </c>
      <c r="F429" s="4">
        <v>10160702.41306306</v>
      </c>
      <c r="H429" s="2">
        <v>221568.01801801799</v>
      </c>
      <c r="I429" s="2">
        <v>166763.25</v>
      </c>
      <c r="J429" s="3">
        <v>60.928906177248649</v>
      </c>
      <c r="K429" s="6">
        <v>1.3286381622930592</v>
      </c>
      <c r="L429" s="3">
        <v>45.858163574116496</v>
      </c>
      <c r="M429" s="53">
        <v>3.8655247625849813E-2</v>
      </c>
      <c r="N429" s="53">
        <v>4.1378328535193284E-2</v>
      </c>
      <c r="O429" s="4">
        <v>332672.99115540535</v>
      </c>
      <c r="P429" s="5">
        <v>3.2741141077776849E-2</v>
      </c>
      <c r="V429" s="4">
        <v>0</v>
      </c>
      <c r="W429" s="4">
        <v>8282193.9419819862</v>
      </c>
      <c r="Y429" s="2">
        <v>180651.12612612612</v>
      </c>
      <c r="Z429" s="2">
        <v>132428.25</v>
      </c>
      <c r="AA429" s="3">
        <v>62.540990626863874</v>
      </c>
      <c r="AB429" s="6">
        <v>1.3641434220124944</v>
      </c>
      <c r="AC429" s="3">
        <v>45.846345492469084</v>
      </c>
      <c r="AD429" s="4">
        <v>235111.96648648637</v>
      </c>
      <c r="AE429" s="5">
        <v>2.8387643193757722E-2</v>
      </c>
      <c r="AL429" s="7">
        <v>0.22681290540167365</v>
      </c>
      <c r="AN429" s="7">
        <v>0.22649674413501697</v>
      </c>
      <c r="AO429" s="7">
        <v>0.25927247396231534</v>
      </c>
      <c r="AP429" s="7">
        <v>-2.5776445711155227E-2</v>
      </c>
      <c r="AQ429" s="7">
        <v>-2.6027512317623458E-2</v>
      </c>
      <c r="AR429" s="7">
        <v>2.5777587112929545E-4</v>
      </c>
      <c r="AS429" s="7">
        <v>0.41495558957236889</v>
      </c>
      <c r="AT429" s="8">
        <v>0.43534978840191263</v>
      </c>
    </row>
    <row r="430" spans="1:46" x14ac:dyDescent="0.3">
      <c r="A430" t="str">
        <f t="shared" si="21"/>
        <v>202409 &amp; Segm SDC &gt; Les Eco-responsables</v>
      </c>
      <c r="B430">
        <v>202409</v>
      </c>
      <c r="C430" t="s">
        <v>59</v>
      </c>
      <c r="D430" t="s">
        <v>67</v>
      </c>
      <c r="E430" s="4">
        <v>0</v>
      </c>
      <c r="F430" s="4">
        <v>10160702.41306306</v>
      </c>
      <c r="H430" s="2">
        <v>221568.01801801799</v>
      </c>
      <c r="I430" s="2">
        <v>166763.25</v>
      </c>
      <c r="J430" s="3">
        <v>60.928906177248649</v>
      </c>
      <c r="K430" s="6">
        <v>1.3286381622930592</v>
      </c>
      <c r="L430" s="3">
        <v>45.858163574116496</v>
      </c>
      <c r="M430" s="53">
        <v>3.8655247625849813E-2</v>
      </c>
      <c r="N430" s="53">
        <v>4.1378328535193284E-2</v>
      </c>
      <c r="O430" s="4">
        <v>332672.99115540535</v>
      </c>
      <c r="P430" s="5">
        <v>3.2741141077776849E-2</v>
      </c>
      <c r="V430" s="4">
        <v>0</v>
      </c>
      <c r="W430" s="4">
        <v>8282193.9419819862</v>
      </c>
      <c r="Y430" s="2">
        <v>180651.12612612612</v>
      </c>
      <c r="Z430" s="2">
        <v>132428.25</v>
      </c>
      <c r="AA430" s="3">
        <v>62.540990626863874</v>
      </c>
      <c r="AB430" s="6">
        <v>1.3641434220124944</v>
      </c>
      <c r="AC430" s="3">
        <v>45.846345492469084</v>
      </c>
      <c r="AD430" s="4">
        <v>235111.96648648637</v>
      </c>
      <c r="AE430" s="5">
        <v>2.8387643193757722E-2</v>
      </c>
      <c r="AL430" s="7">
        <v>0.22681290540167365</v>
      </c>
      <c r="AN430" s="7">
        <v>0.22649674413501697</v>
      </c>
      <c r="AO430" s="7">
        <v>0.25927247396231534</v>
      </c>
      <c r="AP430" s="7">
        <v>-2.5776445711155227E-2</v>
      </c>
      <c r="AQ430" s="7">
        <v>-2.6027512317623458E-2</v>
      </c>
      <c r="AR430" s="7">
        <v>2.5777587112929545E-4</v>
      </c>
      <c r="AS430" s="7">
        <v>0.41495558957236889</v>
      </c>
      <c r="AT430" s="8">
        <v>0.43534978840191263</v>
      </c>
    </row>
    <row r="431" spans="1:46" x14ac:dyDescent="0.3">
      <c r="A431" t="str">
        <f t="shared" si="21"/>
        <v>202409 &amp; Segm SDC &gt; Les Eco-responsables</v>
      </c>
      <c r="B431">
        <v>202409</v>
      </c>
      <c r="C431" t="s">
        <v>59</v>
      </c>
      <c r="D431" t="s">
        <v>67</v>
      </c>
      <c r="E431" s="4">
        <v>0</v>
      </c>
      <c r="F431" s="4">
        <v>10160702.41306306</v>
      </c>
      <c r="H431" s="2">
        <v>221568.01801801799</v>
      </c>
      <c r="I431" s="2">
        <v>166763.25</v>
      </c>
      <c r="J431" s="3">
        <v>60.928906177248649</v>
      </c>
      <c r="K431" s="6">
        <v>1.3286381622930592</v>
      </c>
      <c r="L431" s="3">
        <v>45.858163574116496</v>
      </c>
      <c r="M431" s="53">
        <v>3.8655247625849813E-2</v>
      </c>
      <c r="N431" s="53">
        <v>4.1378328535193284E-2</v>
      </c>
      <c r="O431" s="4">
        <v>332672.99115540535</v>
      </c>
      <c r="P431" s="5">
        <v>3.2741141077776849E-2</v>
      </c>
      <c r="V431" s="4">
        <v>0</v>
      </c>
      <c r="W431" s="4">
        <v>8282193.9419819862</v>
      </c>
      <c r="Y431" s="2">
        <v>180651.12612612612</v>
      </c>
      <c r="Z431" s="2">
        <v>132428.25</v>
      </c>
      <c r="AA431" s="3">
        <v>62.540990626863874</v>
      </c>
      <c r="AB431" s="6">
        <v>1.3641434220124944</v>
      </c>
      <c r="AC431" s="3">
        <v>45.846345492469084</v>
      </c>
      <c r="AD431" s="4">
        <v>235111.96648648637</v>
      </c>
      <c r="AE431" s="5">
        <v>2.8387643193757722E-2</v>
      </c>
      <c r="AL431" s="7">
        <v>0.22681290540167365</v>
      </c>
      <c r="AN431" s="7">
        <v>0.22649674413501697</v>
      </c>
      <c r="AO431" s="7">
        <v>0.25927247396231534</v>
      </c>
      <c r="AP431" s="7">
        <v>-2.5776445711155227E-2</v>
      </c>
      <c r="AQ431" s="7">
        <v>-2.6027512317623458E-2</v>
      </c>
      <c r="AR431" s="7">
        <v>2.5777587112929545E-4</v>
      </c>
      <c r="AS431" s="7">
        <v>0.41495558957236889</v>
      </c>
      <c r="AT431" s="8">
        <v>0.43534978840191263</v>
      </c>
    </row>
    <row r="432" spans="1:46" x14ac:dyDescent="0.3">
      <c r="A432" t="str">
        <f t="shared" si="21"/>
        <v>202409 &amp; Segm SDC &gt; Les Eco-responsables</v>
      </c>
      <c r="B432">
        <v>202409</v>
      </c>
      <c r="C432" t="s">
        <v>59</v>
      </c>
      <c r="D432" t="s">
        <v>67</v>
      </c>
      <c r="E432" s="4">
        <v>0</v>
      </c>
      <c r="F432" s="4">
        <v>10160702.41306306</v>
      </c>
      <c r="H432" s="2">
        <v>221568.01801801799</v>
      </c>
      <c r="I432" s="2">
        <v>166763.25</v>
      </c>
      <c r="J432" s="3">
        <v>60.928906177248649</v>
      </c>
      <c r="K432" s="6">
        <v>1.3286381622930592</v>
      </c>
      <c r="L432" s="3">
        <v>45.858163574116496</v>
      </c>
      <c r="M432" s="53">
        <v>3.8655247625849813E-2</v>
      </c>
      <c r="N432" s="53">
        <v>4.1378328535193284E-2</v>
      </c>
      <c r="O432" s="4">
        <v>332672.99115540535</v>
      </c>
      <c r="P432" s="5">
        <v>3.2741141077776849E-2</v>
      </c>
      <c r="V432" s="4">
        <v>0</v>
      </c>
      <c r="W432" s="4">
        <v>8282193.9419819862</v>
      </c>
      <c r="Y432" s="2">
        <v>180651.12612612612</v>
      </c>
      <c r="Z432" s="2">
        <v>132428.25</v>
      </c>
      <c r="AA432" s="3">
        <v>62.540990626863874</v>
      </c>
      <c r="AB432" s="6">
        <v>1.3641434220124944</v>
      </c>
      <c r="AC432" s="3">
        <v>45.846345492469084</v>
      </c>
      <c r="AD432" s="4">
        <v>235111.96648648637</v>
      </c>
      <c r="AE432" s="5">
        <v>2.8387643193757722E-2</v>
      </c>
      <c r="AL432" s="7">
        <v>0.22681290540167365</v>
      </c>
      <c r="AN432" s="7">
        <v>0.22649674413501697</v>
      </c>
      <c r="AO432" s="7">
        <v>0.25927247396231534</v>
      </c>
      <c r="AP432" s="7">
        <v>-2.5776445711155227E-2</v>
      </c>
      <c r="AQ432" s="7">
        <v>-2.6027512317623458E-2</v>
      </c>
      <c r="AR432" s="7">
        <v>2.5777587112929545E-4</v>
      </c>
      <c r="AS432" s="7">
        <v>0.41495558957236889</v>
      </c>
      <c r="AT432" s="8">
        <v>0.43534978840191263</v>
      </c>
    </row>
    <row r="433" spans="1:46" x14ac:dyDescent="0.3">
      <c r="A433" t="str">
        <f t="shared" si="21"/>
        <v>202410 &amp; Segm SDC &gt; Les Eco-responsables</v>
      </c>
      <c r="B433">
        <v>202410</v>
      </c>
      <c r="C433" t="s">
        <v>59</v>
      </c>
      <c r="D433" t="s">
        <v>67</v>
      </c>
      <c r="E433" s="4">
        <v>0</v>
      </c>
      <c r="F433" s="4">
        <v>38403090.113513507</v>
      </c>
      <c r="H433" s="2">
        <v>769636.93693693692</v>
      </c>
      <c r="I433" s="2">
        <v>518108.25</v>
      </c>
      <c r="J433" s="3">
        <v>74.121749872760191</v>
      </c>
      <c r="K433" s="6">
        <v>1.4854751626459084</v>
      </c>
      <c r="L433" s="3">
        <v>49.897670278603336</v>
      </c>
      <c r="M433" s="53">
        <v>0.1332534205457622</v>
      </c>
      <c r="N433" s="53">
        <v>0.12555782647377695</v>
      </c>
      <c r="O433" s="4">
        <v>1085990.1807432428</v>
      </c>
      <c r="P433" s="5">
        <v>2.827871865345279E-2</v>
      </c>
      <c r="V433" s="4">
        <v>0</v>
      </c>
      <c r="W433" s="4">
        <v>32513086.886441439</v>
      </c>
      <c r="Y433" s="2">
        <v>651032.43243243243</v>
      </c>
      <c r="Z433" s="2">
        <v>451924.5</v>
      </c>
      <c r="AA433" s="3">
        <v>71.943625287943973</v>
      </c>
      <c r="AB433" s="6">
        <v>1.4405778673925234</v>
      </c>
      <c r="AC433" s="3">
        <v>49.940809807222344</v>
      </c>
      <c r="AD433" s="4">
        <v>1083737.984752252</v>
      </c>
      <c r="AE433" s="5">
        <v>3.3332362089684903E-2</v>
      </c>
      <c r="AL433" s="7">
        <v>0.18115792104404305</v>
      </c>
      <c r="AN433" s="7">
        <v>0.1821791029079245</v>
      </c>
      <c r="AO433" s="7">
        <v>0.14644868777860021</v>
      </c>
      <c r="AP433" s="7">
        <v>3.0275435469071521E-2</v>
      </c>
      <c r="AQ433" s="7">
        <v>3.116617037484426E-2</v>
      </c>
      <c r="AR433" s="7">
        <v>-8.6381315772676714E-4</v>
      </c>
      <c r="AS433" s="7">
        <v>2.0781738968997931E-3</v>
      </c>
      <c r="AT433" s="8">
        <v>-0.50536434362321125</v>
      </c>
    </row>
    <row r="434" spans="1:46" x14ac:dyDescent="0.3">
      <c r="A434" t="str">
        <f t="shared" si="21"/>
        <v>202410 &amp; Segm SDC &gt; Les Eco-responsables</v>
      </c>
      <c r="B434">
        <v>202410</v>
      </c>
      <c r="C434" t="s">
        <v>59</v>
      </c>
      <c r="D434" t="s">
        <v>67</v>
      </c>
      <c r="E434" s="4">
        <v>0</v>
      </c>
      <c r="F434" s="4">
        <v>38403090.113513507</v>
      </c>
      <c r="H434" s="2">
        <v>769636.93693693692</v>
      </c>
      <c r="I434" s="2">
        <v>518108.25</v>
      </c>
      <c r="J434" s="3">
        <v>74.121749872760191</v>
      </c>
      <c r="K434" s="6">
        <v>1.4854751626459084</v>
      </c>
      <c r="L434" s="3">
        <v>49.897670278603336</v>
      </c>
      <c r="M434" s="53">
        <v>0.1332534205457622</v>
      </c>
      <c r="N434" s="53">
        <v>0.12555782647377695</v>
      </c>
      <c r="O434" s="4">
        <v>1085990.1807432428</v>
      </c>
      <c r="P434" s="5">
        <v>2.827871865345279E-2</v>
      </c>
      <c r="V434" s="4">
        <v>0</v>
      </c>
      <c r="W434" s="4">
        <v>32513086.886441439</v>
      </c>
      <c r="Y434" s="2">
        <v>651032.43243243243</v>
      </c>
      <c r="Z434" s="2">
        <v>451924.5</v>
      </c>
      <c r="AA434" s="3">
        <v>71.943625287943973</v>
      </c>
      <c r="AB434" s="6">
        <v>1.4405778673925234</v>
      </c>
      <c r="AC434" s="3">
        <v>49.940809807222344</v>
      </c>
      <c r="AD434" s="4">
        <v>1083737.984752252</v>
      </c>
      <c r="AE434" s="5">
        <v>3.3332362089684903E-2</v>
      </c>
      <c r="AL434" s="7">
        <v>0.18115792104404305</v>
      </c>
      <c r="AN434" s="7">
        <v>0.1821791029079245</v>
      </c>
      <c r="AO434" s="7">
        <v>0.14644868777860021</v>
      </c>
      <c r="AP434" s="7">
        <v>3.0275435469071521E-2</v>
      </c>
      <c r="AQ434" s="7">
        <v>3.116617037484426E-2</v>
      </c>
      <c r="AR434" s="7">
        <v>-8.6381315772676714E-4</v>
      </c>
      <c r="AS434" s="7">
        <v>2.0781738968997931E-3</v>
      </c>
      <c r="AT434" s="8">
        <v>-0.50536434362321125</v>
      </c>
    </row>
    <row r="435" spans="1:46" x14ac:dyDescent="0.3">
      <c r="A435" t="str">
        <f t="shared" si="21"/>
        <v>202410 &amp; Segm SDC &gt; Les Eco-responsables</v>
      </c>
      <c r="B435">
        <v>202410</v>
      </c>
      <c r="C435" t="s">
        <v>59</v>
      </c>
      <c r="D435" t="s">
        <v>67</v>
      </c>
      <c r="E435" s="4">
        <v>0</v>
      </c>
      <c r="F435" s="4">
        <v>38403090.113513507</v>
      </c>
      <c r="H435" s="2">
        <v>769636.93693693692</v>
      </c>
      <c r="I435" s="2">
        <v>518108.25</v>
      </c>
      <c r="J435" s="3">
        <v>74.121749872760191</v>
      </c>
      <c r="K435" s="6">
        <v>1.4854751626459084</v>
      </c>
      <c r="L435" s="3">
        <v>49.897670278603336</v>
      </c>
      <c r="M435" s="53">
        <v>0.1332534205457622</v>
      </c>
      <c r="N435" s="53">
        <v>0.12555782647377695</v>
      </c>
      <c r="O435" s="4">
        <v>1085990.1807432428</v>
      </c>
      <c r="P435" s="5">
        <v>2.827871865345279E-2</v>
      </c>
      <c r="V435" s="4">
        <v>0</v>
      </c>
      <c r="W435" s="4">
        <v>32513086.886441439</v>
      </c>
      <c r="Y435" s="2">
        <v>651032.43243243243</v>
      </c>
      <c r="Z435" s="2">
        <v>451924.5</v>
      </c>
      <c r="AA435" s="3">
        <v>71.943625287943973</v>
      </c>
      <c r="AB435" s="6">
        <v>1.4405778673925234</v>
      </c>
      <c r="AC435" s="3">
        <v>49.940809807222344</v>
      </c>
      <c r="AD435" s="4">
        <v>1083737.984752252</v>
      </c>
      <c r="AE435" s="5">
        <v>3.3332362089684903E-2</v>
      </c>
      <c r="AL435" s="7">
        <v>0.18115792104404305</v>
      </c>
      <c r="AN435" s="7">
        <v>0.1821791029079245</v>
      </c>
      <c r="AO435" s="7">
        <v>0.14644868777860021</v>
      </c>
      <c r="AP435" s="7">
        <v>3.0275435469071521E-2</v>
      </c>
      <c r="AQ435" s="7">
        <v>3.116617037484426E-2</v>
      </c>
      <c r="AR435" s="7">
        <v>-8.6381315772676714E-4</v>
      </c>
      <c r="AS435" s="7">
        <v>2.0781738968997931E-3</v>
      </c>
      <c r="AT435" s="8">
        <v>-0.50536434362321125</v>
      </c>
    </row>
    <row r="436" spans="1:46" x14ac:dyDescent="0.3">
      <c r="A436" t="str">
        <f t="shared" si="21"/>
        <v>202410 &amp; Segm SDC &gt; Les Eco-responsables</v>
      </c>
      <c r="B436">
        <v>202410</v>
      </c>
      <c r="C436" t="s">
        <v>59</v>
      </c>
      <c r="D436" t="s">
        <v>67</v>
      </c>
      <c r="E436" s="4">
        <v>0</v>
      </c>
      <c r="F436" s="4">
        <v>38403090.113513507</v>
      </c>
      <c r="H436" s="2">
        <v>769636.93693693692</v>
      </c>
      <c r="I436" s="2">
        <v>518108.25</v>
      </c>
      <c r="J436" s="3">
        <v>74.121749872760191</v>
      </c>
      <c r="K436" s="6">
        <v>1.4854751626459084</v>
      </c>
      <c r="L436" s="3">
        <v>49.897670278603336</v>
      </c>
      <c r="M436" s="53">
        <v>0.1332534205457622</v>
      </c>
      <c r="N436" s="53">
        <v>0.12555782647377695</v>
      </c>
      <c r="O436" s="4">
        <v>1085990.1807432428</v>
      </c>
      <c r="P436" s="5">
        <v>2.827871865345279E-2</v>
      </c>
      <c r="V436" s="4">
        <v>0</v>
      </c>
      <c r="W436" s="4">
        <v>32513086.886441439</v>
      </c>
      <c r="Y436" s="2">
        <v>651032.43243243243</v>
      </c>
      <c r="Z436" s="2">
        <v>451924.5</v>
      </c>
      <c r="AA436" s="3">
        <v>71.943625287943973</v>
      </c>
      <c r="AB436" s="6">
        <v>1.4405778673925234</v>
      </c>
      <c r="AC436" s="3">
        <v>49.940809807222344</v>
      </c>
      <c r="AD436" s="4">
        <v>1083737.984752252</v>
      </c>
      <c r="AE436" s="5">
        <v>3.3332362089684903E-2</v>
      </c>
      <c r="AL436" s="7">
        <v>0.18115792104404305</v>
      </c>
      <c r="AN436" s="7">
        <v>0.1821791029079245</v>
      </c>
      <c r="AO436" s="7">
        <v>0.14644868777860021</v>
      </c>
      <c r="AP436" s="7">
        <v>3.0275435469071521E-2</v>
      </c>
      <c r="AQ436" s="7">
        <v>3.116617037484426E-2</v>
      </c>
      <c r="AR436" s="7">
        <v>-8.6381315772676714E-4</v>
      </c>
      <c r="AS436" s="7">
        <v>2.0781738968997931E-3</v>
      </c>
      <c r="AT436" s="8">
        <v>-0.50536434362321125</v>
      </c>
    </row>
    <row r="437" spans="1:46" x14ac:dyDescent="0.3">
      <c r="A437" t="str">
        <f t="shared" si="21"/>
        <v>202312 &amp; Segm SDC &gt; Les Eco-responsables</v>
      </c>
      <c r="B437">
        <v>202312</v>
      </c>
      <c r="C437" t="s">
        <v>59</v>
      </c>
      <c r="D437" t="s">
        <v>67</v>
      </c>
      <c r="E437" s="4">
        <v>0</v>
      </c>
      <c r="F437" s="4">
        <v>10295289.864054047</v>
      </c>
      <c r="H437" s="2">
        <v>204848.19819819817</v>
      </c>
      <c r="I437" s="2">
        <v>137565.75</v>
      </c>
      <c r="J437" s="3">
        <v>74.839048702558927</v>
      </c>
      <c r="K437" s="6">
        <v>1.4890930205970465</v>
      </c>
      <c r="L437" s="3">
        <v>50.258142149207359</v>
      </c>
      <c r="M437" s="53">
        <v>3.024645631557352E-2</v>
      </c>
      <c r="N437" s="53">
        <v>3.3526340571074287E-2</v>
      </c>
      <c r="O437" s="4">
        <v>369646.06299549539</v>
      </c>
      <c r="P437" s="5">
        <v>3.5904386168485916E-2</v>
      </c>
      <c r="V437" s="4">
        <v>0</v>
      </c>
      <c r="W437" s="4">
        <v>9767792.9288738724</v>
      </c>
      <c r="Y437" s="2">
        <v>200295.27027027027</v>
      </c>
      <c r="Z437" s="2">
        <v>136454.25</v>
      </c>
      <c r="AA437" s="3">
        <v>71.582914631635674</v>
      </c>
      <c r="AB437" s="6">
        <v>1.4678565912770782</v>
      </c>
      <c r="AC437" s="3">
        <v>48.76696746604955</v>
      </c>
      <c r="AD437" s="4">
        <v>291388.40351351339</v>
      </c>
      <c r="AE437" s="5">
        <v>2.9831550037487078E-2</v>
      </c>
      <c r="AL437" s="7">
        <v>5.4003697562105213E-2</v>
      </c>
      <c r="AN437" s="7">
        <v>2.2731080578110241E-2</v>
      </c>
      <c r="AO437" s="7">
        <v>8.1455872572675503E-3</v>
      </c>
      <c r="AP437" s="7">
        <v>4.548758719422441E-2</v>
      </c>
      <c r="AQ437" s="7">
        <v>1.446764584917104E-2</v>
      </c>
      <c r="AR437" s="7">
        <v>3.0577556092572955E-2</v>
      </c>
      <c r="AS437" s="7">
        <v>0.26856820154255989</v>
      </c>
      <c r="AT437" s="8">
        <v>0.60728361309988388</v>
      </c>
    </row>
    <row r="438" spans="1:46" x14ac:dyDescent="0.3">
      <c r="A438" t="str">
        <f t="shared" si="21"/>
        <v>202312 &amp; Segm SDC &gt; Les Eco-responsables</v>
      </c>
      <c r="B438">
        <v>202312</v>
      </c>
      <c r="C438" t="s">
        <v>59</v>
      </c>
      <c r="D438" t="s">
        <v>67</v>
      </c>
      <c r="E438" s="4">
        <v>0</v>
      </c>
      <c r="F438" s="4">
        <v>10295289.864054047</v>
      </c>
      <c r="H438" s="2">
        <v>204848.19819819817</v>
      </c>
      <c r="I438" s="2">
        <v>137565.75</v>
      </c>
      <c r="J438" s="3">
        <v>74.839048702558927</v>
      </c>
      <c r="K438" s="6">
        <v>1.4890930205970465</v>
      </c>
      <c r="L438" s="3">
        <v>50.258142149207359</v>
      </c>
      <c r="M438" s="53">
        <v>3.024645631557352E-2</v>
      </c>
      <c r="N438" s="53">
        <v>3.3526340571074287E-2</v>
      </c>
      <c r="O438" s="4">
        <v>369646.06299549539</v>
      </c>
      <c r="P438" s="5">
        <v>3.5904386168485916E-2</v>
      </c>
      <c r="V438" s="4">
        <v>0</v>
      </c>
      <c r="W438" s="4">
        <v>9767792.9288738724</v>
      </c>
      <c r="Y438" s="2">
        <v>200295.27027027027</v>
      </c>
      <c r="Z438" s="2">
        <v>136454.25</v>
      </c>
      <c r="AA438" s="3">
        <v>71.582914631635674</v>
      </c>
      <c r="AB438" s="6">
        <v>1.4678565912770782</v>
      </c>
      <c r="AC438" s="3">
        <v>48.76696746604955</v>
      </c>
      <c r="AD438" s="4">
        <v>291388.40351351339</v>
      </c>
      <c r="AE438" s="5">
        <v>2.9831550037487078E-2</v>
      </c>
      <c r="AL438" s="7">
        <v>5.4003697562105213E-2</v>
      </c>
      <c r="AN438" s="7">
        <v>2.2731080578110241E-2</v>
      </c>
      <c r="AO438" s="7">
        <v>8.1455872572675503E-3</v>
      </c>
      <c r="AP438" s="7">
        <v>4.548758719422441E-2</v>
      </c>
      <c r="AQ438" s="7">
        <v>1.446764584917104E-2</v>
      </c>
      <c r="AR438" s="7">
        <v>3.0577556092572955E-2</v>
      </c>
      <c r="AS438" s="7">
        <v>0.26856820154255989</v>
      </c>
      <c r="AT438" s="8">
        <v>0.60728361309988388</v>
      </c>
    </row>
    <row r="439" spans="1:46" x14ac:dyDescent="0.3">
      <c r="A439" t="str">
        <f t="shared" si="21"/>
        <v>202312 &amp; Segm SDC &gt; Les Eco-responsables</v>
      </c>
      <c r="B439">
        <v>202312</v>
      </c>
      <c r="C439" t="s">
        <v>59</v>
      </c>
      <c r="D439" t="s">
        <v>67</v>
      </c>
      <c r="E439" s="4">
        <v>0</v>
      </c>
      <c r="F439" s="4">
        <v>10295289.864054047</v>
      </c>
      <c r="H439" s="2">
        <v>204848.19819819817</v>
      </c>
      <c r="I439" s="2">
        <v>137565.75</v>
      </c>
      <c r="J439" s="3">
        <v>74.839048702558927</v>
      </c>
      <c r="K439" s="6">
        <v>1.4890930205970465</v>
      </c>
      <c r="L439" s="3">
        <v>50.258142149207359</v>
      </c>
      <c r="M439" s="53">
        <v>3.024645631557352E-2</v>
      </c>
      <c r="N439" s="53">
        <v>3.3526340571074287E-2</v>
      </c>
      <c r="O439" s="4">
        <v>369646.06299549539</v>
      </c>
      <c r="P439" s="5">
        <v>3.5904386168485916E-2</v>
      </c>
      <c r="V439" s="4">
        <v>0</v>
      </c>
      <c r="W439" s="4">
        <v>9767792.9288738724</v>
      </c>
      <c r="Y439" s="2">
        <v>200295.27027027027</v>
      </c>
      <c r="Z439" s="2">
        <v>136454.25</v>
      </c>
      <c r="AA439" s="3">
        <v>71.582914631635674</v>
      </c>
      <c r="AB439" s="6">
        <v>1.4678565912770782</v>
      </c>
      <c r="AC439" s="3">
        <v>48.76696746604955</v>
      </c>
      <c r="AD439" s="4">
        <v>291388.40351351339</v>
      </c>
      <c r="AE439" s="5">
        <v>2.9831550037487078E-2</v>
      </c>
      <c r="AL439" s="7">
        <v>5.4003697562105213E-2</v>
      </c>
      <c r="AN439" s="7">
        <v>2.2731080578110241E-2</v>
      </c>
      <c r="AO439" s="7">
        <v>8.1455872572675503E-3</v>
      </c>
      <c r="AP439" s="7">
        <v>4.548758719422441E-2</v>
      </c>
      <c r="AQ439" s="7">
        <v>1.446764584917104E-2</v>
      </c>
      <c r="AR439" s="7">
        <v>3.0577556092572955E-2</v>
      </c>
      <c r="AS439" s="7">
        <v>0.26856820154255989</v>
      </c>
      <c r="AT439" s="8">
        <v>0.60728361309988388</v>
      </c>
    </row>
    <row r="440" spans="1:46" x14ac:dyDescent="0.3">
      <c r="A440" t="str">
        <f t="shared" si="21"/>
        <v>202312 &amp; Segm SDC &gt; Les Eco-responsables</v>
      </c>
      <c r="B440">
        <v>202312</v>
      </c>
      <c r="C440" t="s">
        <v>59</v>
      </c>
      <c r="D440" t="s">
        <v>67</v>
      </c>
      <c r="E440" s="4">
        <v>0</v>
      </c>
      <c r="F440" s="4">
        <v>10295289.864054047</v>
      </c>
      <c r="H440" s="2">
        <v>204848.19819819817</v>
      </c>
      <c r="I440" s="2">
        <v>137565.75</v>
      </c>
      <c r="J440" s="3">
        <v>74.839048702558927</v>
      </c>
      <c r="K440" s="6">
        <v>1.4890930205970465</v>
      </c>
      <c r="L440" s="3">
        <v>50.258142149207359</v>
      </c>
      <c r="M440" s="53">
        <v>3.024645631557352E-2</v>
      </c>
      <c r="N440" s="53">
        <v>3.3526340571074287E-2</v>
      </c>
      <c r="O440" s="4">
        <v>369646.06299549539</v>
      </c>
      <c r="P440" s="5">
        <v>3.5904386168485916E-2</v>
      </c>
      <c r="V440" s="4">
        <v>0</v>
      </c>
      <c r="W440" s="4">
        <v>9767792.9288738724</v>
      </c>
      <c r="Y440" s="2">
        <v>200295.27027027027</v>
      </c>
      <c r="Z440" s="2">
        <v>136454.25</v>
      </c>
      <c r="AA440" s="3">
        <v>71.582914631635674</v>
      </c>
      <c r="AB440" s="6">
        <v>1.4678565912770782</v>
      </c>
      <c r="AC440" s="3">
        <v>48.76696746604955</v>
      </c>
      <c r="AD440" s="4">
        <v>291388.40351351339</v>
      </c>
      <c r="AE440" s="5">
        <v>2.9831550037487078E-2</v>
      </c>
      <c r="AL440" s="7">
        <v>5.4003697562105213E-2</v>
      </c>
      <c r="AN440" s="7">
        <v>2.2731080578110241E-2</v>
      </c>
      <c r="AO440" s="7">
        <v>8.1455872572675503E-3</v>
      </c>
      <c r="AP440" s="7">
        <v>4.548758719422441E-2</v>
      </c>
      <c r="AQ440" s="7">
        <v>1.446764584917104E-2</v>
      </c>
      <c r="AR440" s="7">
        <v>3.0577556092572955E-2</v>
      </c>
      <c r="AS440" s="7">
        <v>0.26856820154255989</v>
      </c>
      <c r="AT440" s="8">
        <v>0.60728361309988388</v>
      </c>
    </row>
    <row r="441" spans="1:46" x14ac:dyDescent="0.3">
      <c r="A441" t="str">
        <f t="shared" si="21"/>
        <v>202405 &amp; Segm SDC &gt; Les Eco-responsables</v>
      </c>
      <c r="B441">
        <v>202405</v>
      </c>
      <c r="C441" t="s">
        <v>59</v>
      </c>
      <c r="D441" t="s">
        <v>67</v>
      </c>
      <c r="E441" s="4">
        <v>0</v>
      </c>
      <c r="F441" s="4">
        <v>11367405.991576578</v>
      </c>
      <c r="H441" s="2">
        <v>239707.20720720719</v>
      </c>
      <c r="I441" s="2">
        <v>176306.25</v>
      </c>
      <c r="J441" s="3">
        <v>64.475343282365642</v>
      </c>
      <c r="K441" s="6">
        <v>1.359606974836157</v>
      </c>
      <c r="L441" s="3">
        <v>47.422045102508704</v>
      </c>
      <c r="M441" s="53">
        <v>3.9911422734154815E-2</v>
      </c>
      <c r="N441" s="53">
        <v>4.3533076526916986E-2</v>
      </c>
      <c r="O441" s="4">
        <v>233834.91653153146</v>
      </c>
      <c r="P441" s="5">
        <v>2.0570648809834603E-2</v>
      </c>
      <c r="V441" s="4">
        <v>0</v>
      </c>
      <c r="W441" s="4">
        <v>8204851.3934684675</v>
      </c>
      <c r="Y441" s="2">
        <v>175088.96396396394</v>
      </c>
      <c r="Z441" s="2">
        <v>131174.25</v>
      </c>
      <c r="AA441" s="3">
        <v>62.549253328823816</v>
      </c>
      <c r="AB441" s="6">
        <v>1.3347815136275902</v>
      </c>
      <c r="AC441" s="3">
        <v>46.861042567806585</v>
      </c>
      <c r="AD441" s="4">
        <v>155253.08159909904</v>
      </c>
      <c r="AE441" s="5">
        <v>1.8922107684081809E-2</v>
      </c>
      <c r="AL441" s="7">
        <v>0.38544934532582587</v>
      </c>
      <c r="AN441" s="7">
        <v>0.36905948713331083</v>
      </c>
      <c r="AO441" s="7">
        <v>0.34406142973944953</v>
      </c>
      <c r="AP441" s="7">
        <v>3.079317259658243E-2</v>
      </c>
      <c r="AQ441" s="7">
        <v>1.8598894991508796E-2</v>
      </c>
      <c r="AR441" s="7">
        <v>1.197161872551944E-2</v>
      </c>
      <c r="AS441" s="7">
        <v>0.50615314120044141</v>
      </c>
      <c r="AT441" s="8">
        <v>0.16485411257527935</v>
      </c>
    </row>
    <row r="442" spans="1:46" x14ac:dyDescent="0.3">
      <c r="A442" t="str">
        <f t="shared" si="21"/>
        <v>202405 &amp; Segm SDC &gt; Les Eco-responsables</v>
      </c>
      <c r="B442">
        <v>202405</v>
      </c>
      <c r="C442" t="s">
        <v>59</v>
      </c>
      <c r="D442" t="s">
        <v>67</v>
      </c>
      <c r="E442" s="4">
        <v>0</v>
      </c>
      <c r="F442" s="4">
        <v>11367405.991576578</v>
      </c>
      <c r="H442" s="2">
        <v>239707.20720720719</v>
      </c>
      <c r="I442" s="2">
        <v>176306.25</v>
      </c>
      <c r="J442" s="3">
        <v>64.475343282365642</v>
      </c>
      <c r="K442" s="6">
        <v>1.359606974836157</v>
      </c>
      <c r="L442" s="3">
        <v>47.422045102508704</v>
      </c>
      <c r="M442" s="53">
        <v>3.9911422734154815E-2</v>
      </c>
      <c r="N442" s="53">
        <v>4.3533076526916986E-2</v>
      </c>
      <c r="O442" s="4">
        <v>233834.91653153146</v>
      </c>
      <c r="P442" s="5">
        <v>2.0570648809834603E-2</v>
      </c>
      <c r="V442" s="4">
        <v>0</v>
      </c>
      <c r="W442" s="4">
        <v>8204851.3934684675</v>
      </c>
      <c r="Y442" s="2">
        <v>175088.96396396394</v>
      </c>
      <c r="Z442" s="2">
        <v>131174.25</v>
      </c>
      <c r="AA442" s="3">
        <v>62.549253328823816</v>
      </c>
      <c r="AB442" s="6">
        <v>1.3347815136275902</v>
      </c>
      <c r="AC442" s="3">
        <v>46.861042567806585</v>
      </c>
      <c r="AD442" s="4">
        <v>155253.08159909904</v>
      </c>
      <c r="AE442" s="5">
        <v>1.8922107684081809E-2</v>
      </c>
      <c r="AL442" s="7">
        <v>0.38544934532582587</v>
      </c>
      <c r="AN442" s="7">
        <v>0.36905948713331083</v>
      </c>
      <c r="AO442" s="7">
        <v>0.34406142973944953</v>
      </c>
      <c r="AP442" s="7">
        <v>3.079317259658243E-2</v>
      </c>
      <c r="AQ442" s="7">
        <v>1.8598894991508796E-2</v>
      </c>
      <c r="AR442" s="7">
        <v>1.197161872551944E-2</v>
      </c>
      <c r="AS442" s="7">
        <v>0.50615314120044141</v>
      </c>
      <c r="AT442" s="8">
        <v>0.16485411257527935</v>
      </c>
    </row>
    <row r="443" spans="1:46" x14ac:dyDescent="0.3">
      <c r="A443" t="str">
        <f t="shared" si="21"/>
        <v>202405 &amp; Segm SDC &gt; Les Eco-responsables</v>
      </c>
      <c r="B443">
        <v>202405</v>
      </c>
      <c r="C443" t="s">
        <v>59</v>
      </c>
      <c r="D443" t="s">
        <v>67</v>
      </c>
      <c r="E443" s="4">
        <v>0</v>
      </c>
      <c r="F443" s="4">
        <v>11367405.991576578</v>
      </c>
      <c r="H443" s="2">
        <v>239707.20720720719</v>
      </c>
      <c r="I443" s="2">
        <v>176306.25</v>
      </c>
      <c r="J443" s="3">
        <v>64.475343282365642</v>
      </c>
      <c r="K443" s="6">
        <v>1.359606974836157</v>
      </c>
      <c r="L443" s="3">
        <v>47.422045102508704</v>
      </c>
      <c r="M443" s="53">
        <v>3.9911422734154815E-2</v>
      </c>
      <c r="N443" s="53">
        <v>4.3533076526916986E-2</v>
      </c>
      <c r="O443" s="4">
        <v>233834.91653153146</v>
      </c>
      <c r="P443" s="5">
        <v>2.0570648809834603E-2</v>
      </c>
      <c r="V443" s="4">
        <v>0</v>
      </c>
      <c r="W443" s="4">
        <v>8204851.3934684675</v>
      </c>
      <c r="Y443" s="2">
        <v>175088.96396396394</v>
      </c>
      <c r="Z443" s="2">
        <v>131174.25</v>
      </c>
      <c r="AA443" s="3">
        <v>62.549253328823816</v>
      </c>
      <c r="AB443" s="6">
        <v>1.3347815136275902</v>
      </c>
      <c r="AC443" s="3">
        <v>46.861042567806585</v>
      </c>
      <c r="AD443" s="4">
        <v>155253.08159909904</v>
      </c>
      <c r="AE443" s="5">
        <v>1.8922107684081809E-2</v>
      </c>
      <c r="AL443" s="7">
        <v>0.38544934532582587</v>
      </c>
      <c r="AN443" s="7">
        <v>0.36905948713331083</v>
      </c>
      <c r="AO443" s="7">
        <v>0.34406142973944953</v>
      </c>
      <c r="AP443" s="7">
        <v>3.079317259658243E-2</v>
      </c>
      <c r="AQ443" s="7">
        <v>1.8598894991508796E-2</v>
      </c>
      <c r="AR443" s="7">
        <v>1.197161872551944E-2</v>
      </c>
      <c r="AS443" s="7">
        <v>0.50615314120044141</v>
      </c>
      <c r="AT443" s="8">
        <v>0.16485411257527935</v>
      </c>
    </row>
    <row r="444" spans="1:46" x14ac:dyDescent="0.3">
      <c r="A444" t="str">
        <f t="shared" si="21"/>
        <v>202405 &amp; Segm SDC &gt; Les Eco-responsables</v>
      </c>
      <c r="B444">
        <v>202405</v>
      </c>
      <c r="C444" t="s">
        <v>59</v>
      </c>
      <c r="D444" t="s">
        <v>67</v>
      </c>
      <c r="E444" s="4">
        <v>0</v>
      </c>
      <c r="F444" s="4">
        <v>11367405.991576578</v>
      </c>
      <c r="H444" s="2">
        <v>239707.20720720719</v>
      </c>
      <c r="I444" s="2">
        <v>176306.25</v>
      </c>
      <c r="J444" s="3">
        <v>64.475343282365642</v>
      </c>
      <c r="K444" s="6">
        <v>1.359606974836157</v>
      </c>
      <c r="L444" s="3">
        <v>47.422045102508704</v>
      </c>
      <c r="M444" s="53">
        <v>3.9911422734154815E-2</v>
      </c>
      <c r="N444" s="53">
        <v>4.3533076526916986E-2</v>
      </c>
      <c r="O444" s="4">
        <v>233834.91653153146</v>
      </c>
      <c r="P444" s="5">
        <v>2.0570648809834603E-2</v>
      </c>
      <c r="V444" s="4">
        <v>0</v>
      </c>
      <c r="W444" s="4">
        <v>8204851.3934684675</v>
      </c>
      <c r="Y444" s="2">
        <v>175088.96396396394</v>
      </c>
      <c r="Z444" s="2">
        <v>131174.25</v>
      </c>
      <c r="AA444" s="3">
        <v>62.549253328823816</v>
      </c>
      <c r="AB444" s="6">
        <v>1.3347815136275902</v>
      </c>
      <c r="AC444" s="3">
        <v>46.861042567806585</v>
      </c>
      <c r="AD444" s="4">
        <v>155253.08159909904</v>
      </c>
      <c r="AE444" s="5">
        <v>1.8922107684081809E-2</v>
      </c>
      <c r="AL444" s="7">
        <v>0.38544934532582587</v>
      </c>
      <c r="AN444" s="7">
        <v>0.36905948713331083</v>
      </c>
      <c r="AO444" s="7">
        <v>0.34406142973944953</v>
      </c>
      <c r="AP444" s="7">
        <v>3.079317259658243E-2</v>
      </c>
      <c r="AQ444" s="7">
        <v>1.8598894991508796E-2</v>
      </c>
      <c r="AR444" s="7">
        <v>1.197161872551944E-2</v>
      </c>
      <c r="AS444" s="7">
        <v>0.50615314120044141</v>
      </c>
      <c r="AT444" s="8">
        <v>0.16485411257527935</v>
      </c>
    </row>
    <row r="445" spans="1:46" x14ac:dyDescent="0.3">
      <c r="A445" t="str">
        <f t="shared" si="21"/>
        <v>202412 &amp; Segm SDC &gt; Les Eco-responsables</v>
      </c>
      <c r="B445">
        <v>202412</v>
      </c>
      <c r="C445" t="s">
        <v>59</v>
      </c>
      <c r="D445" t="s">
        <v>67</v>
      </c>
      <c r="E445" s="4">
        <v>0</v>
      </c>
      <c r="F445" s="4">
        <v>25678563.763918921</v>
      </c>
      <c r="H445" s="2">
        <v>516806.08108108101</v>
      </c>
      <c r="I445" s="2">
        <v>343416.75</v>
      </c>
      <c r="J445" s="3">
        <v>74.773766171623606</v>
      </c>
      <c r="K445" s="6">
        <v>1.5048947993395225</v>
      </c>
      <c r="L445" s="3">
        <v>49.687038724860216</v>
      </c>
      <c r="M445" s="53">
        <v>7.57789610819017E-2</v>
      </c>
      <c r="N445" s="53">
        <v>8.0663240760102395E-2</v>
      </c>
      <c r="O445" s="4">
        <v>747499.35412364872</v>
      </c>
      <c r="P445" s="5">
        <v>2.9109858362638016E-2</v>
      </c>
      <c r="V445" s="4">
        <v>0</v>
      </c>
      <c r="W445" s="4">
        <v>10295289.864054047</v>
      </c>
      <c r="Y445" s="2">
        <v>204848.19819819817</v>
      </c>
      <c r="Z445" s="2">
        <v>137565.75</v>
      </c>
      <c r="AA445" s="3">
        <v>74.839048702558927</v>
      </c>
      <c r="AB445" s="6">
        <v>1.4890930205970465</v>
      </c>
      <c r="AC445" s="3">
        <v>50.258142149207359</v>
      </c>
      <c r="AD445" s="4">
        <v>369646.06299549539</v>
      </c>
      <c r="AE445" s="5">
        <v>3.5904386168485916E-2</v>
      </c>
      <c r="AL445" s="7">
        <v>1.4942050299696272</v>
      </c>
      <c r="AN445" s="7">
        <v>1.5228734527655066</v>
      </c>
      <c r="AO445" s="7">
        <v>1.4963826388472423</v>
      </c>
      <c r="AP445" s="7">
        <v>-8.7230572898888692E-4</v>
      </c>
      <c r="AQ445" s="7">
        <v>1.0611680079019026E-2</v>
      </c>
      <c r="AR445" s="7">
        <v>-1.1363401031650566E-2</v>
      </c>
      <c r="AS445" s="7">
        <v>1.022202936685296</v>
      </c>
      <c r="AT445" s="8">
        <v>-0.67945278058479008</v>
      </c>
    </row>
    <row r="446" spans="1:46" x14ac:dyDescent="0.3">
      <c r="A446" t="str">
        <f t="shared" si="21"/>
        <v>202412 &amp; Segm SDC &gt; Les Eco-responsables</v>
      </c>
      <c r="B446">
        <v>202412</v>
      </c>
      <c r="C446" t="s">
        <v>59</v>
      </c>
      <c r="D446" t="s">
        <v>67</v>
      </c>
      <c r="E446" s="4">
        <v>0</v>
      </c>
      <c r="F446" s="4">
        <v>25678563.763918921</v>
      </c>
      <c r="H446" s="2">
        <v>516806.08108108101</v>
      </c>
      <c r="I446" s="2">
        <v>343416.75</v>
      </c>
      <c r="J446" s="3">
        <v>74.773766171623606</v>
      </c>
      <c r="K446" s="6">
        <v>1.5048947993395225</v>
      </c>
      <c r="L446" s="3">
        <v>49.687038724860216</v>
      </c>
      <c r="M446" s="53">
        <v>7.57789610819017E-2</v>
      </c>
      <c r="N446" s="53">
        <v>8.0663240760102395E-2</v>
      </c>
      <c r="O446" s="4">
        <v>747499.35412364872</v>
      </c>
      <c r="P446" s="5">
        <v>2.9109858362638016E-2</v>
      </c>
      <c r="V446" s="4">
        <v>0</v>
      </c>
      <c r="W446" s="4">
        <v>10295289.864054047</v>
      </c>
      <c r="Y446" s="2">
        <v>204848.19819819817</v>
      </c>
      <c r="Z446" s="2">
        <v>137565.75</v>
      </c>
      <c r="AA446" s="3">
        <v>74.839048702558927</v>
      </c>
      <c r="AB446" s="6">
        <v>1.4890930205970465</v>
      </c>
      <c r="AC446" s="3">
        <v>50.258142149207359</v>
      </c>
      <c r="AD446" s="4">
        <v>369646.06299549539</v>
      </c>
      <c r="AE446" s="5">
        <v>3.5904386168485916E-2</v>
      </c>
      <c r="AL446" s="7">
        <v>1.4942050299696272</v>
      </c>
      <c r="AN446" s="7">
        <v>1.5228734527655066</v>
      </c>
      <c r="AO446" s="7">
        <v>1.4963826388472423</v>
      </c>
      <c r="AP446" s="7">
        <v>-8.7230572898888692E-4</v>
      </c>
      <c r="AQ446" s="7">
        <v>1.0611680079019026E-2</v>
      </c>
      <c r="AR446" s="7">
        <v>-1.1363401031650566E-2</v>
      </c>
      <c r="AS446" s="7">
        <v>1.022202936685296</v>
      </c>
      <c r="AT446" s="8">
        <v>-0.67945278058479008</v>
      </c>
    </row>
    <row r="447" spans="1:46" x14ac:dyDescent="0.3">
      <c r="A447" t="str">
        <f t="shared" si="21"/>
        <v>202412 &amp; Segm SDC &gt; Les Eco-responsables</v>
      </c>
      <c r="B447">
        <v>202412</v>
      </c>
      <c r="C447" t="s">
        <v>59</v>
      </c>
      <c r="D447" t="s">
        <v>67</v>
      </c>
      <c r="E447" s="4">
        <v>0</v>
      </c>
      <c r="F447" s="4">
        <v>25678563.763918921</v>
      </c>
      <c r="H447" s="2">
        <v>516806.08108108101</v>
      </c>
      <c r="I447" s="2">
        <v>343416.75</v>
      </c>
      <c r="J447" s="3">
        <v>74.773766171623606</v>
      </c>
      <c r="K447" s="6">
        <v>1.5048947993395225</v>
      </c>
      <c r="L447" s="3">
        <v>49.687038724860216</v>
      </c>
      <c r="M447" s="53">
        <v>7.57789610819017E-2</v>
      </c>
      <c r="N447" s="53">
        <v>8.0663240760102395E-2</v>
      </c>
      <c r="O447" s="4">
        <v>747499.35412364872</v>
      </c>
      <c r="P447" s="5">
        <v>2.9109858362638016E-2</v>
      </c>
      <c r="V447" s="4">
        <v>0</v>
      </c>
      <c r="W447" s="4">
        <v>10295289.864054047</v>
      </c>
      <c r="Y447" s="2">
        <v>204848.19819819817</v>
      </c>
      <c r="Z447" s="2">
        <v>137565.75</v>
      </c>
      <c r="AA447" s="3">
        <v>74.839048702558927</v>
      </c>
      <c r="AB447" s="6">
        <v>1.4890930205970465</v>
      </c>
      <c r="AC447" s="3">
        <v>50.258142149207359</v>
      </c>
      <c r="AD447" s="4">
        <v>369646.06299549539</v>
      </c>
      <c r="AE447" s="5">
        <v>3.5904386168485916E-2</v>
      </c>
      <c r="AL447" s="7">
        <v>1.4942050299696272</v>
      </c>
      <c r="AN447" s="7">
        <v>1.5228734527655066</v>
      </c>
      <c r="AO447" s="7">
        <v>1.4963826388472423</v>
      </c>
      <c r="AP447" s="7">
        <v>-8.7230572898888692E-4</v>
      </c>
      <c r="AQ447" s="7">
        <v>1.0611680079019026E-2</v>
      </c>
      <c r="AR447" s="7">
        <v>-1.1363401031650566E-2</v>
      </c>
      <c r="AS447" s="7">
        <v>1.022202936685296</v>
      </c>
      <c r="AT447" s="8">
        <v>-0.67945278058479008</v>
      </c>
    </row>
    <row r="448" spans="1:46" x14ac:dyDescent="0.3">
      <c r="A448" t="str">
        <f t="shared" si="21"/>
        <v>202412 &amp; Segm SDC &gt; Les Eco-responsables</v>
      </c>
      <c r="B448">
        <v>202412</v>
      </c>
      <c r="C448" t="s">
        <v>59</v>
      </c>
      <c r="D448" t="s">
        <v>67</v>
      </c>
      <c r="E448" s="4">
        <v>0</v>
      </c>
      <c r="F448" s="4">
        <v>25678563.763918921</v>
      </c>
      <c r="H448" s="2">
        <v>516806.08108108101</v>
      </c>
      <c r="I448" s="2">
        <v>343416.75</v>
      </c>
      <c r="J448" s="3">
        <v>74.773766171623606</v>
      </c>
      <c r="K448" s="6">
        <v>1.5048947993395225</v>
      </c>
      <c r="L448" s="3">
        <v>49.687038724860216</v>
      </c>
      <c r="M448" s="53">
        <v>7.57789610819017E-2</v>
      </c>
      <c r="N448" s="53">
        <v>8.0663240760102395E-2</v>
      </c>
      <c r="O448" s="4">
        <v>747499.35412364872</v>
      </c>
      <c r="P448" s="5">
        <v>2.9109858362638016E-2</v>
      </c>
      <c r="V448" s="4">
        <v>0</v>
      </c>
      <c r="W448" s="4">
        <v>10295289.864054047</v>
      </c>
      <c r="Y448" s="2">
        <v>204848.19819819817</v>
      </c>
      <c r="Z448" s="2">
        <v>137565.75</v>
      </c>
      <c r="AA448" s="3">
        <v>74.839048702558927</v>
      </c>
      <c r="AB448" s="6">
        <v>1.4890930205970465</v>
      </c>
      <c r="AC448" s="3">
        <v>50.258142149207359</v>
      </c>
      <c r="AD448" s="4">
        <v>369646.06299549539</v>
      </c>
      <c r="AE448" s="5">
        <v>3.5904386168485916E-2</v>
      </c>
      <c r="AL448" s="7">
        <v>1.4942050299696272</v>
      </c>
      <c r="AN448" s="7">
        <v>1.5228734527655066</v>
      </c>
      <c r="AO448" s="7">
        <v>1.4963826388472423</v>
      </c>
      <c r="AP448" s="7">
        <v>-8.7230572898888692E-4</v>
      </c>
      <c r="AQ448" s="7">
        <v>1.0611680079019026E-2</v>
      </c>
      <c r="AR448" s="7">
        <v>-1.1363401031650566E-2</v>
      </c>
      <c r="AS448" s="7">
        <v>1.022202936685296</v>
      </c>
      <c r="AT448" s="8">
        <v>-0.67945278058479008</v>
      </c>
    </row>
    <row r="449" spans="1:46" x14ac:dyDescent="0.3">
      <c r="A449" t="str">
        <f t="shared" si="21"/>
        <v>202402 &amp; Segm SDC &gt; Les Eco-responsables</v>
      </c>
      <c r="B449">
        <v>202402</v>
      </c>
      <c r="C449" t="s">
        <v>59</v>
      </c>
      <c r="D449" t="s">
        <v>67</v>
      </c>
      <c r="E449" s="4">
        <v>0</v>
      </c>
      <c r="F449" s="4">
        <v>10271488.163153149</v>
      </c>
      <c r="H449" s="2">
        <v>225420.04504504503</v>
      </c>
      <c r="I449" s="2">
        <v>170750.25</v>
      </c>
      <c r="J449" s="3">
        <v>60.15504025998878</v>
      </c>
      <c r="K449" s="6">
        <v>1.320174026363329</v>
      </c>
      <c r="L449" s="3">
        <v>45.565992860575591</v>
      </c>
      <c r="M449" s="53">
        <v>3.9731652146484775E-2</v>
      </c>
      <c r="N449" s="53">
        <v>4.3126256255586908E-2</v>
      </c>
      <c r="O449" s="4">
        <v>262791.04524774756</v>
      </c>
      <c r="P449" s="5">
        <v>2.5584515220536043E-2</v>
      </c>
      <c r="V449" s="4">
        <v>0</v>
      </c>
      <c r="W449" s="4">
        <v>7074264.7065765774</v>
      </c>
      <c r="Y449" s="2">
        <v>159566.44144144142</v>
      </c>
      <c r="Z449" s="2">
        <v>126238.5</v>
      </c>
      <c r="AA449" s="3">
        <v>56.038884386114994</v>
      </c>
      <c r="AB449" s="6">
        <v>1.2640077428157133</v>
      </c>
      <c r="AC449" s="3">
        <v>44.334288855922942</v>
      </c>
      <c r="AD449" s="4">
        <v>162608.34333333335</v>
      </c>
      <c r="AE449" s="5">
        <v>2.2985900313026851E-2</v>
      </c>
      <c r="AL449" s="7">
        <v>0.45195134606770915</v>
      </c>
      <c r="AN449" s="7">
        <v>0.41270334168460443</v>
      </c>
      <c r="AO449" s="7">
        <v>0.35260043489109893</v>
      </c>
      <c r="AP449" s="7">
        <v>7.3451781186665954E-2</v>
      </c>
      <c r="AQ449" s="7">
        <v>4.4435078714390785E-2</v>
      </c>
      <c r="AR449" s="7">
        <v>2.7782198303787586E-2</v>
      </c>
      <c r="AS449" s="7">
        <v>0.61609816483431068</v>
      </c>
      <c r="AT449" s="8">
        <v>0.25986149075091919</v>
      </c>
    </row>
    <row r="450" spans="1:46" x14ac:dyDescent="0.3">
      <c r="A450" t="str">
        <f t="shared" ref="A450:A513" si="22">_xlfn.CONCAT(B450," &amp; ",C450," &gt; ",D450)</f>
        <v>202402 &amp; Segm SDC &gt; Les Eco-responsables</v>
      </c>
      <c r="B450">
        <v>202402</v>
      </c>
      <c r="C450" t="s">
        <v>59</v>
      </c>
      <c r="D450" t="s">
        <v>67</v>
      </c>
      <c r="E450" s="4">
        <v>0</v>
      </c>
      <c r="F450" s="4">
        <v>10271488.163153149</v>
      </c>
      <c r="H450" s="2">
        <v>225420.04504504503</v>
      </c>
      <c r="I450" s="2">
        <v>170750.25</v>
      </c>
      <c r="J450" s="3">
        <v>60.15504025998878</v>
      </c>
      <c r="K450" s="6">
        <v>1.320174026363329</v>
      </c>
      <c r="L450" s="3">
        <v>45.565992860575591</v>
      </c>
      <c r="M450" s="53">
        <v>3.9731652146484775E-2</v>
      </c>
      <c r="N450" s="53">
        <v>4.3126256255586908E-2</v>
      </c>
      <c r="O450" s="4">
        <v>262791.04524774756</v>
      </c>
      <c r="P450" s="5">
        <v>2.5584515220536043E-2</v>
      </c>
      <c r="V450" s="4">
        <v>0</v>
      </c>
      <c r="W450" s="4">
        <v>7074264.7065765774</v>
      </c>
      <c r="Y450" s="2">
        <v>159566.44144144142</v>
      </c>
      <c r="Z450" s="2">
        <v>126238.5</v>
      </c>
      <c r="AA450" s="3">
        <v>56.038884386114994</v>
      </c>
      <c r="AB450" s="6">
        <v>1.2640077428157133</v>
      </c>
      <c r="AC450" s="3">
        <v>44.334288855922942</v>
      </c>
      <c r="AD450" s="4">
        <v>162608.34333333335</v>
      </c>
      <c r="AE450" s="5">
        <v>2.2985900313026851E-2</v>
      </c>
      <c r="AL450" s="7">
        <v>0.45195134606770915</v>
      </c>
      <c r="AN450" s="7">
        <v>0.41270334168460443</v>
      </c>
      <c r="AO450" s="7">
        <v>0.35260043489109893</v>
      </c>
      <c r="AP450" s="7">
        <v>7.3451781186665954E-2</v>
      </c>
      <c r="AQ450" s="7">
        <v>4.4435078714390785E-2</v>
      </c>
      <c r="AR450" s="7">
        <v>2.7782198303787586E-2</v>
      </c>
      <c r="AS450" s="7">
        <v>0.61609816483431068</v>
      </c>
      <c r="AT450" s="8">
        <v>0.25986149075091919</v>
      </c>
    </row>
    <row r="451" spans="1:46" x14ac:dyDescent="0.3">
      <c r="A451" t="str">
        <f t="shared" si="22"/>
        <v>202402 &amp; Segm SDC &gt; Les Eco-responsables</v>
      </c>
      <c r="B451">
        <v>202402</v>
      </c>
      <c r="C451" t="s">
        <v>59</v>
      </c>
      <c r="D451" t="s">
        <v>67</v>
      </c>
      <c r="E451" s="4">
        <v>0</v>
      </c>
      <c r="F451" s="4">
        <v>10271488.163153149</v>
      </c>
      <c r="H451" s="2">
        <v>225420.04504504503</v>
      </c>
      <c r="I451" s="2">
        <v>170750.25</v>
      </c>
      <c r="J451" s="3">
        <v>60.15504025998878</v>
      </c>
      <c r="K451" s="6">
        <v>1.320174026363329</v>
      </c>
      <c r="L451" s="3">
        <v>45.565992860575591</v>
      </c>
      <c r="M451" s="53">
        <v>3.9731652146484775E-2</v>
      </c>
      <c r="N451" s="53">
        <v>4.3126256255586908E-2</v>
      </c>
      <c r="O451" s="4">
        <v>262791.04524774756</v>
      </c>
      <c r="P451" s="5">
        <v>2.5584515220536043E-2</v>
      </c>
      <c r="V451" s="4">
        <v>0</v>
      </c>
      <c r="W451" s="4">
        <v>7074264.7065765774</v>
      </c>
      <c r="Y451" s="2">
        <v>159566.44144144142</v>
      </c>
      <c r="Z451" s="2">
        <v>126238.5</v>
      </c>
      <c r="AA451" s="3">
        <v>56.038884386114994</v>
      </c>
      <c r="AB451" s="6">
        <v>1.2640077428157133</v>
      </c>
      <c r="AC451" s="3">
        <v>44.334288855922942</v>
      </c>
      <c r="AD451" s="4">
        <v>162608.34333333335</v>
      </c>
      <c r="AE451" s="5">
        <v>2.2985900313026851E-2</v>
      </c>
      <c r="AL451" s="7">
        <v>0.45195134606770915</v>
      </c>
      <c r="AN451" s="7">
        <v>0.41270334168460443</v>
      </c>
      <c r="AO451" s="7">
        <v>0.35260043489109893</v>
      </c>
      <c r="AP451" s="7">
        <v>7.3451781186665954E-2</v>
      </c>
      <c r="AQ451" s="7">
        <v>4.4435078714390785E-2</v>
      </c>
      <c r="AR451" s="7">
        <v>2.7782198303787586E-2</v>
      </c>
      <c r="AS451" s="7">
        <v>0.61609816483431068</v>
      </c>
      <c r="AT451" s="8">
        <v>0.25986149075091919</v>
      </c>
    </row>
    <row r="452" spans="1:46" x14ac:dyDescent="0.3">
      <c r="A452" t="str">
        <f t="shared" si="22"/>
        <v>202402 &amp; Segm SDC &gt; Les Eco-responsables</v>
      </c>
      <c r="B452">
        <v>202402</v>
      </c>
      <c r="C452" t="s">
        <v>59</v>
      </c>
      <c r="D452" t="s">
        <v>67</v>
      </c>
      <c r="E452" s="4">
        <v>0</v>
      </c>
      <c r="F452" s="4">
        <v>10271488.163153149</v>
      </c>
      <c r="H452" s="2">
        <v>225420.04504504503</v>
      </c>
      <c r="I452" s="2">
        <v>170750.25</v>
      </c>
      <c r="J452" s="3">
        <v>60.15504025998878</v>
      </c>
      <c r="K452" s="6">
        <v>1.320174026363329</v>
      </c>
      <c r="L452" s="3">
        <v>45.565992860575591</v>
      </c>
      <c r="M452" s="53">
        <v>3.9731652146484775E-2</v>
      </c>
      <c r="N452" s="53">
        <v>4.3126256255586908E-2</v>
      </c>
      <c r="O452" s="4">
        <v>262791.04524774756</v>
      </c>
      <c r="P452" s="5">
        <v>2.5584515220536043E-2</v>
      </c>
      <c r="V452" s="4">
        <v>0</v>
      </c>
      <c r="W452" s="4">
        <v>7074264.7065765774</v>
      </c>
      <c r="Y452" s="2">
        <v>159566.44144144142</v>
      </c>
      <c r="Z452" s="2">
        <v>126238.5</v>
      </c>
      <c r="AA452" s="3">
        <v>56.038884386114994</v>
      </c>
      <c r="AB452" s="6">
        <v>1.2640077428157133</v>
      </c>
      <c r="AC452" s="3">
        <v>44.334288855922942</v>
      </c>
      <c r="AD452" s="4">
        <v>162608.34333333335</v>
      </c>
      <c r="AE452" s="5">
        <v>2.2985900313026851E-2</v>
      </c>
      <c r="AL452" s="7">
        <v>0.45195134606770915</v>
      </c>
      <c r="AN452" s="7">
        <v>0.41270334168460443</v>
      </c>
      <c r="AO452" s="7">
        <v>0.35260043489109893</v>
      </c>
      <c r="AP452" s="7">
        <v>7.3451781186665954E-2</v>
      </c>
      <c r="AQ452" s="7">
        <v>4.4435078714390785E-2</v>
      </c>
      <c r="AR452" s="7">
        <v>2.7782198303787586E-2</v>
      </c>
      <c r="AS452" s="7">
        <v>0.61609816483431068</v>
      </c>
      <c r="AT452" s="8">
        <v>0.25986149075091919</v>
      </c>
    </row>
    <row r="453" spans="1:46" x14ac:dyDescent="0.3">
      <c r="A453" t="str">
        <f t="shared" si="22"/>
        <v>202401 &amp; Segm SDC &gt; Les Eco-responsables</v>
      </c>
      <c r="B453">
        <v>202401</v>
      </c>
      <c r="C453" t="s">
        <v>59</v>
      </c>
      <c r="D453" t="s">
        <v>67</v>
      </c>
      <c r="E453" s="4">
        <v>0</v>
      </c>
      <c r="F453" s="4">
        <v>8325343.1732882885</v>
      </c>
      <c r="H453" s="2">
        <v>181497.07207207204</v>
      </c>
      <c r="I453" s="2">
        <v>133124.25</v>
      </c>
      <c r="J453" s="3">
        <v>62.538141422680603</v>
      </c>
      <c r="K453" s="6">
        <v>1.3633659688003654</v>
      </c>
      <c r="L453" s="3">
        <v>45.870399330642179</v>
      </c>
      <c r="M453" s="53">
        <v>3.1033964850667992E-2</v>
      </c>
      <c r="N453" s="53">
        <v>3.3784911668612881E-2</v>
      </c>
      <c r="O453" s="4">
        <v>333045.26477477484</v>
      </c>
      <c r="P453" s="5">
        <v>4.0003788173362573E-2</v>
      </c>
      <c r="V453" s="4">
        <v>0</v>
      </c>
      <c r="W453" s="4">
        <v>30292824.795405399</v>
      </c>
      <c r="Y453" s="2">
        <v>611881.30630630627</v>
      </c>
      <c r="Z453" s="2">
        <v>437368.5</v>
      </c>
      <c r="AA453" s="3">
        <v>69.261560435663284</v>
      </c>
      <c r="AB453" s="6">
        <v>1.3990063443213361</v>
      </c>
      <c r="AC453" s="3">
        <v>49.507681446049745</v>
      </c>
      <c r="AD453" s="4">
        <v>1111020.5729729729</v>
      </c>
      <c r="AE453" s="5">
        <v>3.667603072597854E-2</v>
      </c>
      <c r="AL453" s="7">
        <v>-0.72517111792918643</v>
      </c>
      <c r="AN453" s="7">
        <v>-0.70337862882639679</v>
      </c>
      <c r="AO453" s="7">
        <v>-0.69562451342517806</v>
      </c>
      <c r="AP453" s="7">
        <v>-9.7072878097051118E-2</v>
      </c>
      <c r="AQ453" s="7">
        <v>-2.5475492420486412E-2</v>
      </c>
      <c r="AR453" s="7">
        <v>-7.3469045795877985E-2</v>
      </c>
      <c r="AS453" s="7">
        <v>-0.70023483554082067</v>
      </c>
      <c r="AT453" s="8">
        <v>0.33277574473840332</v>
      </c>
    </row>
    <row r="454" spans="1:46" x14ac:dyDescent="0.3">
      <c r="A454" t="str">
        <f t="shared" si="22"/>
        <v>202401 &amp; Segm SDC &gt; Les Eco-responsables</v>
      </c>
      <c r="B454">
        <v>202401</v>
      </c>
      <c r="C454" t="s">
        <v>59</v>
      </c>
      <c r="D454" t="s">
        <v>67</v>
      </c>
      <c r="E454" s="4">
        <v>0</v>
      </c>
      <c r="F454" s="4">
        <v>8325343.1732882885</v>
      </c>
      <c r="H454" s="2">
        <v>181497.07207207204</v>
      </c>
      <c r="I454" s="2">
        <v>133124.25</v>
      </c>
      <c r="J454" s="3">
        <v>62.538141422680603</v>
      </c>
      <c r="K454" s="6">
        <v>1.3633659688003654</v>
      </c>
      <c r="L454" s="3">
        <v>45.870399330642179</v>
      </c>
      <c r="M454" s="53">
        <v>3.1033964850667992E-2</v>
      </c>
      <c r="N454" s="53">
        <v>3.3784911668612881E-2</v>
      </c>
      <c r="O454" s="4">
        <v>333045.26477477484</v>
      </c>
      <c r="P454" s="5">
        <v>4.0003788173362573E-2</v>
      </c>
      <c r="V454" s="4">
        <v>0</v>
      </c>
      <c r="W454" s="4">
        <v>30292824.795405399</v>
      </c>
      <c r="Y454" s="2">
        <v>611881.30630630627</v>
      </c>
      <c r="Z454" s="2">
        <v>437368.5</v>
      </c>
      <c r="AA454" s="3">
        <v>69.261560435663284</v>
      </c>
      <c r="AB454" s="6">
        <v>1.3990063443213361</v>
      </c>
      <c r="AC454" s="3">
        <v>49.507681446049745</v>
      </c>
      <c r="AD454" s="4">
        <v>1111020.5729729729</v>
      </c>
      <c r="AE454" s="5">
        <v>3.667603072597854E-2</v>
      </c>
      <c r="AL454" s="7">
        <v>-0.72517111792918643</v>
      </c>
      <c r="AN454" s="7">
        <v>-0.70337862882639679</v>
      </c>
      <c r="AO454" s="7">
        <v>-0.69562451342517806</v>
      </c>
      <c r="AP454" s="7">
        <v>-9.7072878097051118E-2</v>
      </c>
      <c r="AQ454" s="7">
        <v>-2.5475492420486412E-2</v>
      </c>
      <c r="AR454" s="7">
        <v>-7.3469045795877985E-2</v>
      </c>
      <c r="AS454" s="7">
        <v>-0.70023483554082067</v>
      </c>
      <c r="AT454" s="8">
        <v>0.33277574473840332</v>
      </c>
    </row>
    <row r="455" spans="1:46" x14ac:dyDescent="0.3">
      <c r="A455" t="str">
        <f t="shared" si="22"/>
        <v>202401 &amp; Segm SDC &gt; Les Eco-responsables</v>
      </c>
      <c r="B455">
        <v>202401</v>
      </c>
      <c r="C455" t="s">
        <v>59</v>
      </c>
      <c r="D455" t="s">
        <v>67</v>
      </c>
      <c r="E455" s="4">
        <v>0</v>
      </c>
      <c r="F455" s="4">
        <v>8325343.1732882885</v>
      </c>
      <c r="H455" s="2">
        <v>181497.07207207204</v>
      </c>
      <c r="I455" s="2">
        <v>133124.25</v>
      </c>
      <c r="J455" s="3">
        <v>62.538141422680603</v>
      </c>
      <c r="K455" s="6">
        <v>1.3633659688003654</v>
      </c>
      <c r="L455" s="3">
        <v>45.870399330642179</v>
      </c>
      <c r="M455" s="53">
        <v>3.1033964850667992E-2</v>
      </c>
      <c r="N455" s="53">
        <v>3.3784911668612881E-2</v>
      </c>
      <c r="O455" s="4">
        <v>333045.26477477484</v>
      </c>
      <c r="P455" s="5">
        <v>4.0003788173362573E-2</v>
      </c>
      <c r="V455" s="4">
        <v>0</v>
      </c>
      <c r="W455" s="4">
        <v>30292824.795405399</v>
      </c>
      <c r="Y455" s="2">
        <v>611881.30630630627</v>
      </c>
      <c r="Z455" s="2">
        <v>437368.5</v>
      </c>
      <c r="AA455" s="3">
        <v>69.261560435663284</v>
      </c>
      <c r="AB455" s="6">
        <v>1.3990063443213361</v>
      </c>
      <c r="AC455" s="3">
        <v>49.507681446049745</v>
      </c>
      <c r="AD455" s="4">
        <v>1111020.5729729729</v>
      </c>
      <c r="AE455" s="5">
        <v>3.667603072597854E-2</v>
      </c>
      <c r="AL455" s="7">
        <v>-0.72517111792918643</v>
      </c>
      <c r="AN455" s="7">
        <v>-0.70337862882639679</v>
      </c>
      <c r="AO455" s="7">
        <v>-0.69562451342517806</v>
      </c>
      <c r="AP455" s="7">
        <v>-9.7072878097051118E-2</v>
      </c>
      <c r="AQ455" s="7">
        <v>-2.5475492420486412E-2</v>
      </c>
      <c r="AR455" s="7">
        <v>-7.3469045795877985E-2</v>
      </c>
      <c r="AS455" s="7">
        <v>-0.70023483554082067</v>
      </c>
      <c r="AT455" s="8">
        <v>0.33277574473840332</v>
      </c>
    </row>
    <row r="456" spans="1:46" x14ac:dyDescent="0.3">
      <c r="A456" t="str">
        <f t="shared" si="22"/>
        <v>202401 &amp; Segm SDC &gt; Les Eco-responsables</v>
      </c>
      <c r="B456">
        <v>202401</v>
      </c>
      <c r="C456" t="s">
        <v>59</v>
      </c>
      <c r="D456" t="s">
        <v>67</v>
      </c>
      <c r="E456" s="4">
        <v>0</v>
      </c>
      <c r="F456" s="4">
        <v>8325343.1732882885</v>
      </c>
      <c r="H456" s="2">
        <v>181497.07207207204</v>
      </c>
      <c r="I456" s="2">
        <v>133124.25</v>
      </c>
      <c r="J456" s="3">
        <v>62.538141422680603</v>
      </c>
      <c r="K456" s="6">
        <v>1.3633659688003654</v>
      </c>
      <c r="L456" s="3">
        <v>45.870399330642179</v>
      </c>
      <c r="M456" s="53">
        <v>3.1033964850667992E-2</v>
      </c>
      <c r="N456" s="53">
        <v>3.3784911668612881E-2</v>
      </c>
      <c r="O456" s="4">
        <v>333045.26477477484</v>
      </c>
      <c r="P456" s="5">
        <v>4.0003788173362573E-2</v>
      </c>
      <c r="V456" s="4">
        <v>0</v>
      </c>
      <c r="W456" s="4">
        <v>30292824.795405399</v>
      </c>
      <c r="Y456" s="2">
        <v>611881.30630630627</v>
      </c>
      <c r="Z456" s="2">
        <v>437368.5</v>
      </c>
      <c r="AA456" s="3">
        <v>69.261560435663284</v>
      </c>
      <c r="AB456" s="6">
        <v>1.3990063443213361</v>
      </c>
      <c r="AC456" s="3">
        <v>49.507681446049745</v>
      </c>
      <c r="AD456" s="4">
        <v>1111020.5729729729</v>
      </c>
      <c r="AE456" s="5">
        <v>3.667603072597854E-2</v>
      </c>
      <c r="AL456" s="7">
        <v>-0.72517111792918643</v>
      </c>
      <c r="AN456" s="7">
        <v>-0.70337862882639679</v>
      </c>
      <c r="AO456" s="7">
        <v>-0.69562451342517806</v>
      </c>
      <c r="AP456" s="7">
        <v>-9.7072878097051118E-2</v>
      </c>
      <c r="AQ456" s="7">
        <v>-2.5475492420486412E-2</v>
      </c>
      <c r="AR456" s="7">
        <v>-7.3469045795877985E-2</v>
      </c>
      <c r="AS456" s="7">
        <v>-0.70023483554082067</v>
      </c>
      <c r="AT456" s="8">
        <v>0.33277574473840332</v>
      </c>
    </row>
    <row r="457" spans="1:46" x14ac:dyDescent="0.3">
      <c r="A457" t="str">
        <f t="shared" si="22"/>
        <v>202408 &amp; Segm SDC &gt; Les Eco-responsables</v>
      </c>
      <c r="B457">
        <v>202408</v>
      </c>
      <c r="C457" t="s">
        <v>59</v>
      </c>
      <c r="D457" t="s">
        <v>67</v>
      </c>
      <c r="E457" s="4">
        <v>0</v>
      </c>
      <c r="F457" s="4">
        <v>11418436.340360362</v>
      </c>
      <c r="H457" s="2">
        <v>238631.53153153151</v>
      </c>
      <c r="I457" s="2">
        <v>169847.25</v>
      </c>
      <c r="J457" s="3">
        <v>67.227678636894993</v>
      </c>
      <c r="K457" s="6">
        <v>1.4049773047931686</v>
      </c>
      <c r="L457" s="3">
        <v>47.849654515801447</v>
      </c>
      <c r="M457" s="53">
        <v>3.8063945425425995E-2</v>
      </c>
      <c r="N457" s="53">
        <v>4.1450920406537979E-2</v>
      </c>
      <c r="O457" s="4">
        <v>280788.66693018022</v>
      </c>
      <c r="P457" s="5">
        <v>2.4590815989198624E-2</v>
      </c>
      <c r="V457" s="4">
        <v>0</v>
      </c>
      <c r="W457" s="4">
        <v>33534133.75211712</v>
      </c>
      <c r="Y457" s="2">
        <v>650483.55855855846</v>
      </c>
      <c r="Z457" s="2">
        <v>449437.5</v>
      </c>
      <c r="AA457" s="3">
        <v>74.613564182154633</v>
      </c>
      <c r="AB457" s="6">
        <v>1.4473281792430726</v>
      </c>
      <c r="AC457" s="3">
        <v>51.552623138434448</v>
      </c>
      <c r="AD457" s="4">
        <v>882081.81763513526</v>
      </c>
      <c r="AE457" s="5">
        <v>2.6303998909154663E-2</v>
      </c>
      <c r="AL457" s="7">
        <v>-0.65949809752758326</v>
      </c>
      <c r="AN457" s="7">
        <v>-0.63314748175906554</v>
      </c>
      <c r="AO457" s="7">
        <v>-0.62208927826449734</v>
      </c>
      <c r="AP457" s="7">
        <v>-9.8988510014458297E-2</v>
      </c>
      <c r="AQ457" s="7">
        <v>-2.9261417733228101E-2</v>
      </c>
      <c r="AR457" s="7">
        <v>-7.1828907962440791E-2</v>
      </c>
      <c r="AS457" s="7">
        <v>-0.68167503136729912</v>
      </c>
      <c r="AT457" s="8">
        <v>-0.17131829199560389</v>
      </c>
    </row>
    <row r="458" spans="1:46" x14ac:dyDescent="0.3">
      <c r="A458" t="str">
        <f t="shared" si="22"/>
        <v>202408 &amp; Segm SDC &gt; Les Eco-responsables</v>
      </c>
      <c r="B458">
        <v>202408</v>
      </c>
      <c r="C458" t="s">
        <v>59</v>
      </c>
      <c r="D458" t="s">
        <v>67</v>
      </c>
      <c r="E458" s="4">
        <v>0</v>
      </c>
      <c r="F458" s="4">
        <v>11418436.340360362</v>
      </c>
      <c r="H458" s="2">
        <v>238631.53153153151</v>
      </c>
      <c r="I458" s="2">
        <v>169847.25</v>
      </c>
      <c r="J458" s="3">
        <v>67.227678636894993</v>
      </c>
      <c r="K458" s="6">
        <v>1.4049773047931686</v>
      </c>
      <c r="L458" s="3">
        <v>47.849654515801447</v>
      </c>
      <c r="M458" s="53">
        <v>3.8063945425425995E-2</v>
      </c>
      <c r="N458" s="53">
        <v>4.1450920406537979E-2</v>
      </c>
      <c r="O458" s="4">
        <v>280788.66693018022</v>
      </c>
      <c r="P458" s="5">
        <v>2.4590815989198624E-2</v>
      </c>
      <c r="V458" s="4">
        <v>0</v>
      </c>
      <c r="W458" s="4">
        <v>33534133.75211712</v>
      </c>
      <c r="Y458" s="2">
        <v>650483.55855855846</v>
      </c>
      <c r="Z458" s="2">
        <v>449437.5</v>
      </c>
      <c r="AA458" s="3">
        <v>74.613564182154633</v>
      </c>
      <c r="AB458" s="6">
        <v>1.4473281792430726</v>
      </c>
      <c r="AC458" s="3">
        <v>51.552623138434448</v>
      </c>
      <c r="AD458" s="4">
        <v>882081.81763513526</v>
      </c>
      <c r="AE458" s="5">
        <v>2.6303998909154663E-2</v>
      </c>
      <c r="AL458" s="7">
        <v>-0.65949809752758326</v>
      </c>
      <c r="AN458" s="7">
        <v>-0.63314748175906554</v>
      </c>
      <c r="AO458" s="7">
        <v>-0.62208927826449734</v>
      </c>
      <c r="AP458" s="7">
        <v>-9.8988510014458297E-2</v>
      </c>
      <c r="AQ458" s="7">
        <v>-2.9261417733228101E-2</v>
      </c>
      <c r="AR458" s="7">
        <v>-7.1828907962440791E-2</v>
      </c>
      <c r="AS458" s="7">
        <v>-0.68167503136729912</v>
      </c>
      <c r="AT458" s="8">
        <v>-0.17131829199560389</v>
      </c>
    </row>
    <row r="459" spans="1:46" x14ac:dyDescent="0.3">
      <c r="A459" t="str">
        <f t="shared" si="22"/>
        <v>202408 &amp; Segm SDC &gt; Les Eco-responsables</v>
      </c>
      <c r="B459">
        <v>202408</v>
      </c>
      <c r="C459" t="s">
        <v>59</v>
      </c>
      <c r="D459" t="s">
        <v>67</v>
      </c>
      <c r="E459" s="4">
        <v>0</v>
      </c>
      <c r="F459" s="4">
        <v>11418436.340360362</v>
      </c>
      <c r="H459" s="2">
        <v>238631.53153153151</v>
      </c>
      <c r="I459" s="2">
        <v>169847.25</v>
      </c>
      <c r="J459" s="3">
        <v>67.227678636894993</v>
      </c>
      <c r="K459" s="6">
        <v>1.4049773047931686</v>
      </c>
      <c r="L459" s="3">
        <v>47.849654515801447</v>
      </c>
      <c r="M459" s="53">
        <v>3.8063945425425995E-2</v>
      </c>
      <c r="N459" s="53">
        <v>4.1450920406537979E-2</v>
      </c>
      <c r="O459" s="4">
        <v>280788.66693018022</v>
      </c>
      <c r="P459" s="5">
        <v>2.4590815989198624E-2</v>
      </c>
      <c r="V459" s="4">
        <v>0</v>
      </c>
      <c r="W459" s="4">
        <v>33534133.75211712</v>
      </c>
      <c r="Y459" s="2">
        <v>650483.55855855846</v>
      </c>
      <c r="Z459" s="2">
        <v>449437.5</v>
      </c>
      <c r="AA459" s="3">
        <v>74.613564182154633</v>
      </c>
      <c r="AB459" s="6">
        <v>1.4473281792430726</v>
      </c>
      <c r="AC459" s="3">
        <v>51.552623138434448</v>
      </c>
      <c r="AD459" s="4">
        <v>882081.81763513526</v>
      </c>
      <c r="AE459" s="5">
        <v>2.6303998909154663E-2</v>
      </c>
      <c r="AL459" s="7">
        <v>-0.65949809752758326</v>
      </c>
      <c r="AN459" s="7">
        <v>-0.63314748175906554</v>
      </c>
      <c r="AO459" s="7">
        <v>-0.62208927826449734</v>
      </c>
      <c r="AP459" s="7">
        <v>-9.8988510014458297E-2</v>
      </c>
      <c r="AQ459" s="7">
        <v>-2.9261417733228101E-2</v>
      </c>
      <c r="AR459" s="7">
        <v>-7.1828907962440791E-2</v>
      </c>
      <c r="AS459" s="7">
        <v>-0.68167503136729912</v>
      </c>
      <c r="AT459" s="8">
        <v>-0.17131829199560389</v>
      </c>
    </row>
    <row r="460" spans="1:46" x14ac:dyDescent="0.3">
      <c r="A460" t="str">
        <f t="shared" si="22"/>
        <v>202408 &amp; Segm SDC &gt; Les Eco-responsables</v>
      </c>
      <c r="B460">
        <v>202408</v>
      </c>
      <c r="C460" t="s">
        <v>59</v>
      </c>
      <c r="D460" t="s">
        <v>67</v>
      </c>
      <c r="E460" s="4">
        <v>0</v>
      </c>
      <c r="F460" s="4">
        <v>11418436.340360362</v>
      </c>
      <c r="H460" s="2">
        <v>238631.53153153151</v>
      </c>
      <c r="I460" s="2">
        <v>169847.25</v>
      </c>
      <c r="J460" s="3">
        <v>67.227678636894993</v>
      </c>
      <c r="K460" s="6">
        <v>1.4049773047931686</v>
      </c>
      <c r="L460" s="3">
        <v>47.849654515801447</v>
      </c>
      <c r="M460" s="53">
        <v>3.8063945425425995E-2</v>
      </c>
      <c r="N460" s="53">
        <v>4.1450920406537979E-2</v>
      </c>
      <c r="O460" s="4">
        <v>280788.66693018022</v>
      </c>
      <c r="P460" s="5">
        <v>2.4590815989198624E-2</v>
      </c>
      <c r="V460" s="4">
        <v>0</v>
      </c>
      <c r="W460" s="4">
        <v>33534133.75211712</v>
      </c>
      <c r="Y460" s="2">
        <v>650483.55855855846</v>
      </c>
      <c r="Z460" s="2">
        <v>449437.5</v>
      </c>
      <c r="AA460" s="3">
        <v>74.613564182154633</v>
      </c>
      <c r="AB460" s="6">
        <v>1.4473281792430726</v>
      </c>
      <c r="AC460" s="3">
        <v>51.552623138434448</v>
      </c>
      <c r="AD460" s="4">
        <v>882081.81763513526</v>
      </c>
      <c r="AE460" s="5">
        <v>2.6303998909154663E-2</v>
      </c>
      <c r="AL460" s="7">
        <v>-0.65949809752758326</v>
      </c>
      <c r="AN460" s="7">
        <v>-0.63314748175906554</v>
      </c>
      <c r="AO460" s="7">
        <v>-0.62208927826449734</v>
      </c>
      <c r="AP460" s="7">
        <v>-9.8988510014458297E-2</v>
      </c>
      <c r="AQ460" s="7">
        <v>-2.9261417733228101E-2</v>
      </c>
      <c r="AR460" s="7">
        <v>-7.1828907962440791E-2</v>
      </c>
      <c r="AS460" s="7">
        <v>-0.68167503136729912</v>
      </c>
      <c r="AT460" s="8">
        <v>-0.17131829199560389</v>
      </c>
    </row>
    <row r="461" spans="1:46" x14ac:dyDescent="0.3">
      <c r="A461" t="str">
        <f t="shared" si="22"/>
        <v>202410 &amp; Segm SDC &gt; Les Eco-responsables</v>
      </c>
      <c r="B461">
        <v>202410</v>
      </c>
      <c r="C461" t="s">
        <v>59</v>
      </c>
      <c r="D461" t="s">
        <v>67</v>
      </c>
      <c r="E461" s="4">
        <v>0</v>
      </c>
      <c r="F461" s="4">
        <v>38403090.113513507</v>
      </c>
      <c r="H461" s="2">
        <v>769636.93693693692</v>
      </c>
      <c r="I461" s="2">
        <v>518108.25</v>
      </c>
      <c r="J461" s="3">
        <v>74.121749872760191</v>
      </c>
      <c r="K461" s="6">
        <v>1.4854751626459084</v>
      </c>
      <c r="L461" s="3">
        <v>49.897670278603336</v>
      </c>
      <c r="M461" s="53">
        <v>0.1332534205457622</v>
      </c>
      <c r="N461" s="53">
        <v>0.12555782647377695</v>
      </c>
      <c r="O461" s="4">
        <v>1085990.1807432428</v>
      </c>
      <c r="P461" s="5">
        <v>2.827871865345279E-2</v>
      </c>
      <c r="V461" s="4">
        <v>0</v>
      </c>
      <c r="W461" s="4">
        <v>8153423.4128378313</v>
      </c>
      <c r="Y461" s="2">
        <v>181115.3153153153</v>
      </c>
      <c r="Z461" s="2">
        <v>132847.5</v>
      </c>
      <c r="AA461" s="3">
        <v>61.374308231903733</v>
      </c>
      <c r="AB461" s="6">
        <v>1.3633325076897593</v>
      </c>
      <c r="AC461" s="3">
        <v>45.017857262059877</v>
      </c>
      <c r="AD461" s="4">
        <v>246656.44943400906</v>
      </c>
      <c r="AE461" s="5">
        <v>3.0251887697337099E-2</v>
      </c>
      <c r="AL461" s="7">
        <v>3.710057134166072</v>
      </c>
      <c r="AN461" s="7">
        <v>3.2494304559337044</v>
      </c>
      <c r="AO461" s="7">
        <v>2.9000225822841981</v>
      </c>
      <c r="AP461" s="7">
        <v>0.2076999644980122</v>
      </c>
      <c r="AQ461" s="7">
        <v>8.9591243711430568E-2</v>
      </c>
      <c r="AR461" s="7">
        <v>0.1083972741780419</v>
      </c>
      <c r="AS461" s="7">
        <v>3.4028452660987112</v>
      </c>
      <c r="AT461" s="8">
        <v>-0.19731690438843097</v>
      </c>
    </row>
    <row r="462" spans="1:46" x14ac:dyDescent="0.3">
      <c r="A462" t="str">
        <f t="shared" si="22"/>
        <v>202410 &amp; Segm SDC &gt; Les Eco-responsables</v>
      </c>
      <c r="B462">
        <v>202410</v>
      </c>
      <c r="C462" t="s">
        <v>59</v>
      </c>
      <c r="D462" t="s">
        <v>67</v>
      </c>
      <c r="E462" s="4">
        <v>0</v>
      </c>
      <c r="F462" s="4">
        <v>38403090.113513507</v>
      </c>
      <c r="H462" s="2">
        <v>769636.93693693692</v>
      </c>
      <c r="I462" s="2">
        <v>518108.25</v>
      </c>
      <c r="J462" s="3">
        <v>74.121749872760191</v>
      </c>
      <c r="K462" s="6">
        <v>1.4854751626459084</v>
      </c>
      <c r="L462" s="3">
        <v>49.897670278603336</v>
      </c>
      <c r="M462" s="53">
        <v>0.1332534205457622</v>
      </c>
      <c r="N462" s="53">
        <v>0.12555782647377695</v>
      </c>
      <c r="O462" s="4">
        <v>1085990.1807432428</v>
      </c>
      <c r="P462" s="5">
        <v>2.827871865345279E-2</v>
      </c>
      <c r="V462" s="4">
        <v>0</v>
      </c>
      <c r="W462" s="4">
        <v>8153423.4128378313</v>
      </c>
      <c r="Y462" s="2">
        <v>181115.3153153153</v>
      </c>
      <c r="Z462" s="2">
        <v>132847.5</v>
      </c>
      <c r="AA462" s="3">
        <v>61.374308231903733</v>
      </c>
      <c r="AB462" s="6">
        <v>1.3633325076897593</v>
      </c>
      <c r="AC462" s="3">
        <v>45.017857262059877</v>
      </c>
      <c r="AD462" s="4">
        <v>246656.44943400906</v>
      </c>
      <c r="AE462" s="5">
        <v>3.0251887697337099E-2</v>
      </c>
      <c r="AL462" s="7">
        <v>3.710057134166072</v>
      </c>
      <c r="AN462" s="7">
        <v>3.2494304559337044</v>
      </c>
      <c r="AO462" s="7">
        <v>2.9000225822841981</v>
      </c>
      <c r="AP462" s="7">
        <v>0.2076999644980122</v>
      </c>
      <c r="AQ462" s="7">
        <v>8.9591243711430568E-2</v>
      </c>
      <c r="AR462" s="7">
        <v>0.1083972741780419</v>
      </c>
      <c r="AS462" s="7">
        <v>3.4028452660987112</v>
      </c>
      <c r="AT462" s="8">
        <v>-0.19731690438843097</v>
      </c>
    </row>
    <row r="463" spans="1:46" x14ac:dyDescent="0.3">
      <c r="A463" t="str">
        <f t="shared" si="22"/>
        <v>202410 &amp; Segm SDC &gt; Les Eco-responsables</v>
      </c>
      <c r="B463">
        <v>202410</v>
      </c>
      <c r="C463" t="s">
        <v>59</v>
      </c>
      <c r="D463" t="s">
        <v>67</v>
      </c>
      <c r="E463" s="4">
        <v>0</v>
      </c>
      <c r="F463" s="4">
        <v>38403090.113513507</v>
      </c>
      <c r="H463" s="2">
        <v>769636.93693693692</v>
      </c>
      <c r="I463" s="2">
        <v>518108.25</v>
      </c>
      <c r="J463" s="3">
        <v>74.121749872760191</v>
      </c>
      <c r="K463" s="6">
        <v>1.4854751626459084</v>
      </c>
      <c r="L463" s="3">
        <v>49.897670278603336</v>
      </c>
      <c r="M463" s="53">
        <v>0.1332534205457622</v>
      </c>
      <c r="N463" s="53">
        <v>0.12555782647377695</v>
      </c>
      <c r="O463" s="4">
        <v>1085990.1807432428</v>
      </c>
      <c r="P463" s="5">
        <v>2.827871865345279E-2</v>
      </c>
      <c r="V463" s="4">
        <v>0</v>
      </c>
      <c r="W463" s="4">
        <v>8153423.4128378313</v>
      </c>
      <c r="Y463" s="2">
        <v>181115.3153153153</v>
      </c>
      <c r="Z463" s="2">
        <v>132847.5</v>
      </c>
      <c r="AA463" s="3">
        <v>61.374308231903733</v>
      </c>
      <c r="AB463" s="6">
        <v>1.3633325076897593</v>
      </c>
      <c r="AC463" s="3">
        <v>45.017857262059877</v>
      </c>
      <c r="AD463" s="4">
        <v>246656.44943400906</v>
      </c>
      <c r="AE463" s="5">
        <v>3.0251887697337099E-2</v>
      </c>
      <c r="AL463" s="7">
        <v>3.710057134166072</v>
      </c>
      <c r="AN463" s="7">
        <v>3.2494304559337044</v>
      </c>
      <c r="AO463" s="7">
        <v>2.9000225822841981</v>
      </c>
      <c r="AP463" s="7">
        <v>0.2076999644980122</v>
      </c>
      <c r="AQ463" s="7">
        <v>8.9591243711430568E-2</v>
      </c>
      <c r="AR463" s="7">
        <v>0.1083972741780419</v>
      </c>
      <c r="AS463" s="7">
        <v>3.4028452660987112</v>
      </c>
      <c r="AT463" s="8">
        <v>-0.19731690438843097</v>
      </c>
    </row>
    <row r="464" spans="1:46" x14ac:dyDescent="0.3">
      <c r="A464" t="str">
        <f t="shared" si="22"/>
        <v>202410 &amp; Segm SDC &gt; Les Eco-responsables</v>
      </c>
      <c r="B464">
        <v>202410</v>
      </c>
      <c r="C464" t="s">
        <v>59</v>
      </c>
      <c r="D464" t="s">
        <v>67</v>
      </c>
      <c r="E464" s="4">
        <v>0</v>
      </c>
      <c r="F464" s="4">
        <v>38403090.113513507</v>
      </c>
      <c r="H464" s="2">
        <v>769636.93693693692</v>
      </c>
      <c r="I464" s="2">
        <v>518108.25</v>
      </c>
      <c r="J464" s="3">
        <v>74.121749872760191</v>
      </c>
      <c r="K464" s="6">
        <v>1.4854751626459084</v>
      </c>
      <c r="L464" s="3">
        <v>49.897670278603336</v>
      </c>
      <c r="M464" s="53">
        <v>0.1332534205457622</v>
      </c>
      <c r="N464" s="53">
        <v>0.12555782647377695</v>
      </c>
      <c r="O464" s="4">
        <v>1085990.1807432428</v>
      </c>
      <c r="P464" s="5">
        <v>2.827871865345279E-2</v>
      </c>
      <c r="V464" s="4">
        <v>0</v>
      </c>
      <c r="W464" s="4">
        <v>8153423.4128378313</v>
      </c>
      <c r="Y464" s="2">
        <v>181115.3153153153</v>
      </c>
      <c r="Z464" s="2">
        <v>132847.5</v>
      </c>
      <c r="AA464" s="3">
        <v>61.374308231903733</v>
      </c>
      <c r="AB464" s="6">
        <v>1.3633325076897593</v>
      </c>
      <c r="AC464" s="3">
        <v>45.017857262059877</v>
      </c>
      <c r="AD464" s="4">
        <v>246656.44943400906</v>
      </c>
      <c r="AE464" s="5">
        <v>3.0251887697337099E-2</v>
      </c>
      <c r="AL464" s="7">
        <v>3.710057134166072</v>
      </c>
      <c r="AN464" s="7">
        <v>3.2494304559337044</v>
      </c>
      <c r="AO464" s="7">
        <v>2.9000225822841981</v>
      </c>
      <c r="AP464" s="7">
        <v>0.2076999644980122</v>
      </c>
      <c r="AQ464" s="7">
        <v>8.9591243711430568E-2</v>
      </c>
      <c r="AR464" s="7">
        <v>0.1083972741780419</v>
      </c>
      <c r="AS464" s="7">
        <v>3.4028452660987112</v>
      </c>
      <c r="AT464" s="8">
        <v>-0.19731690438843097</v>
      </c>
    </row>
    <row r="465" spans="1:46" x14ac:dyDescent="0.3">
      <c r="A465" t="str">
        <f t="shared" si="22"/>
        <v>202405 &amp; Segm SDC &gt; Les Eco-responsables</v>
      </c>
      <c r="B465">
        <v>202405</v>
      </c>
      <c r="C465" t="s">
        <v>59</v>
      </c>
      <c r="D465" t="s">
        <v>67</v>
      </c>
      <c r="E465" s="4">
        <v>0</v>
      </c>
      <c r="F465" s="4">
        <v>35457229.978828833</v>
      </c>
      <c r="H465" s="2">
        <v>678555.63063063053</v>
      </c>
      <c r="I465" s="2">
        <v>471268.5</v>
      </c>
      <c r="J465" s="3">
        <v>75.237852686587019</v>
      </c>
      <c r="K465" s="6">
        <v>1.4398493229032505</v>
      </c>
      <c r="L465" s="3">
        <v>52.253976502819491</v>
      </c>
      <c r="M465" s="53">
        <v>0.12449177021704259</v>
      </c>
      <c r="N465" s="53">
        <v>0.11636438115622888</v>
      </c>
      <c r="O465" s="4">
        <v>830065.43030360329</v>
      </c>
      <c r="P465" s="5">
        <v>2.3410329312222845E-2</v>
      </c>
      <c r="V465" s="4">
        <v>0</v>
      </c>
      <c r="W465" s="4">
        <v>8204851.3934684675</v>
      </c>
      <c r="Y465" s="2">
        <v>175088.96396396394</v>
      </c>
      <c r="Z465" s="2">
        <v>131174.25</v>
      </c>
      <c r="AA465" s="3">
        <v>62.549253328823816</v>
      </c>
      <c r="AB465" s="6">
        <v>1.3347815136275902</v>
      </c>
      <c r="AC465" s="3">
        <v>46.861042567806585</v>
      </c>
      <c r="AD465" s="4">
        <v>155253.08159909904</v>
      </c>
      <c r="AE465" s="5">
        <v>1.8922107684081809E-2</v>
      </c>
      <c r="AL465" s="7">
        <v>3.3214956954680277</v>
      </c>
      <c r="AN465" s="7">
        <v>2.8754905807215123</v>
      </c>
      <c r="AO465" s="7">
        <v>2.5926906385971331</v>
      </c>
      <c r="AP465" s="7">
        <v>0.20285772703086868</v>
      </c>
      <c r="AQ465" s="7">
        <v>7.8715361430286235E-2</v>
      </c>
      <c r="AR465" s="7">
        <v>0.11508352438402292</v>
      </c>
      <c r="AS465" s="7">
        <v>4.3465311074921704</v>
      </c>
      <c r="AT465" s="8">
        <v>0.44882216281410364</v>
      </c>
    </row>
    <row r="466" spans="1:46" x14ac:dyDescent="0.3">
      <c r="A466" t="str">
        <f t="shared" si="22"/>
        <v>202405 &amp; Segm SDC &gt; Les Eco-responsables</v>
      </c>
      <c r="B466">
        <v>202405</v>
      </c>
      <c r="C466" t="s">
        <v>59</v>
      </c>
      <c r="D466" t="s">
        <v>67</v>
      </c>
      <c r="E466" s="4">
        <v>0</v>
      </c>
      <c r="F466" s="4">
        <v>35457229.978828833</v>
      </c>
      <c r="H466" s="2">
        <v>678555.63063063053</v>
      </c>
      <c r="I466" s="2">
        <v>471268.5</v>
      </c>
      <c r="J466" s="3">
        <v>75.237852686587019</v>
      </c>
      <c r="K466" s="6">
        <v>1.4398493229032505</v>
      </c>
      <c r="L466" s="3">
        <v>52.253976502819491</v>
      </c>
      <c r="M466" s="53">
        <v>0.12449177021704259</v>
      </c>
      <c r="N466" s="53">
        <v>0.11636438115622888</v>
      </c>
      <c r="O466" s="4">
        <v>830065.43030360329</v>
      </c>
      <c r="P466" s="5">
        <v>2.3410329312222845E-2</v>
      </c>
      <c r="V466" s="4">
        <v>0</v>
      </c>
      <c r="W466" s="4">
        <v>8204851.3934684675</v>
      </c>
      <c r="Y466" s="2">
        <v>175088.96396396394</v>
      </c>
      <c r="Z466" s="2">
        <v>131174.25</v>
      </c>
      <c r="AA466" s="3">
        <v>62.549253328823816</v>
      </c>
      <c r="AB466" s="6">
        <v>1.3347815136275902</v>
      </c>
      <c r="AC466" s="3">
        <v>46.861042567806585</v>
      </c>
      <c r="AD466" s="4">
        <v>155253.08159909904</v>
      </c>
      <c r="AE466" s="5">
        <v>1.8922107684081809E-2</v>
      </c>
      <c r="AL466" s="7">
        <v>3.3214956954680277</v>
      </c>
      <c r="AN466" s="7">
        <v>2.8754905807215123</v>
      </c>
      <c r="AO466" s="7">
        <v>2.5926906385971331</v>
      </c>
      <c r="AP466" s="7">
        <v>0.20285772703086868</v>
      </c>
      <c r="AQ466" s="7">
        <v>7.8715361430286235E-2</v>
      </c>
      <c r="AR466" s="7">
        <v>0.11508352438402292</v>
      </c>
      <c r="AS466" s="7">
        <v>4.3465311074921704</v>
      </c>
      <c r="AT466" s="8">
        <v>0.44882216281410364</v>
      </c>
    </row>
    <row r="467" spans="1:46" x14ac:dyDescent="0.3">
      <c r="A467" t="str">
        <f t="shared" si="22"/>
        <v>202405 &amp; Segm SDC &gt; Les Eco-responsables</v>
      </c>
      <c r="B467">
        <v>202405</v>
      </c>
      <c r="C467" t="s">
        <v>59</v>
      </c>
      <c r="D467" t="s">
        <v>67</v>
      </c>
      <c r="E467" s="4">
        <v>0</v>
      </c>
      <c r="F467" s="4">
        <v>35457229.978828833</v>
      </c>
      <c r="H467" s="2">
        <v>678555.63063063053</v>
      </c>
      <c r="I467" s="2">
        <v>471268.5</v>
      </c>
      <c r="J467" s="3">
        <v>75.237852686587019</v>
      </c>
      <c r="K467" s="6">
        <v>1.4398493229032505</v>
      </c>
      <c r="L467" s="3">
        <v>52.253976502819491</v>
      </c>
      <c r="M467" s="53">
        <v>0.12449177021704259</v>
      </c>
      <c r="N467" s="53">
        <v>0.11636438115622888</v>
      </c>
      <c r="O467" s="4">
        <v>830065.43030360329</v>
      </c>
      <c r="P467" s="5">
        <v>2.3410329312222845E-2</v>
      </c>
      <c r="V467" s="4">
        <v>0</v>
      </c>
      <c r="W467" s="4">
        <v>8204851.3934684675</v>
      </c>
      <c r="Y467" s="2">
        <v>175088.96396396394</v>
      </c>
      <c r="Z467" s="2">
        <v>131174.25</v>
      </c>
      <c r="AA467" s="3">
        <v>62.549253328823816</v>
      </c>
      <c r="AB467" s="6">
        <v>1.3347815136275902</v>
      </c>
      <c r="AC467" s="3">
        <v>46.861042567806585</v>
      </c>
      <c r="AD467" s="4">
        <v>155253.08159909904</v>
      </c>
      <c r="AE467" s="5">
        <v>1.8922107684081809E-2</v>
      </c>
      <c r="AL467" s="7">
        <v>3.3214956954680277</v>
      </c>
      <c r="AN467" s="7">
        <v>2.8754905807215123</v>
      </c>
      <c r="AO467" s="7">
        <v>2.5926906385971331</v>
      </c>
      <c r="AP467" s="7">
        <v>0.20285772703086868</v>
      </c>
      <c r="AQ467" s="7">
        <v>7.8715361430286235E-2</v>
      </c>
      <c r="AR467" s="7">
        <v>0.11508352438402292</v>
      </c>
      <c r="AS467" s="7">
        <v>4.3465311074921704</v>
      </c>
      <c r="AT467" s="8">
        <v>0.44882216281410364</v>
      </c>
    </row>
    <row r="468" spans="1:46" x14ac:dyDescent="0.3">
      <c r="A468" t="str">
        <f t="shared" si="22"/>
        <v>202405 &amp; Segm SDC &gt; Les Eco-responsables</v>
      </c>
      <c r="B468">
        <v>202405</v>
      </c>
      <c r="C468" t="s">
        <v>59</v>
      </c>
      <c r="D468" t="s">
        <v>67</v>
      </c>
      <c r="E468" s="4">
        <v>0</v>
      </c>
      <c r="F468" s="4">
        <v>35457229.978828833</v>
      </c>
      <c r="H468" s="2">
        <v>678555.63063063053</v>
      </c>
      <c r="I468" s="2">
        <v>471268.5</v>
      </c>
      <c r="J468" s="3">
        <v>75.237852686587019</v>
      </c>
      <c r="K468" s="6">
        <v>1.4398493229032505</v>
      </c>
      <c r="L468" s="3">
        <v>52.253976502819491</v>
      </c>
      <c r="M468" s="53">
        <v>0.12449177021704259</v>
      </c>
      <c r="N468" s="53">
        <v>0.11636438115622888</v>
      </c>
      <c r="O468" s="4">
        <v>830065.43030360329</v>
      </c>
      <c r="P468" s="5">
        <v>2.3410329312222845E-2</v>
      </c>
      <c r="V468" s="4">
        <v>0</v>
      </c>
      <c r="W468" s="4">
        <v>8204851.3934684675</v>
      </c>
      <c r="Y468" s="2">
        <v>175088.96396396394</v>
      </c>
      <c r="Z468" s="2">
        <v>131174.25</v>
      </c>
      <c r="AA468" s="3">
        <v>62.549253328823816</v>
      </c>
      <c r="AB468" s="6">
        <v>1.3347815136275902</v>
      </c>
      <c r="AC468" s="3">
        <v>46.861042567806585</v>
      </c>
      <c r="AD468" s="4">
        <v>155253.08159909904</v>
      </c>
      <c r="AE468" s="5">
        <v>1.8922107684081809E-2</v>
      </c>
      <c r="AL468" s="7">
        <v>3.3214956954680277</v>
      </c>
      <c r="AN468" s="7">
        <v>2.8754905807215123</v>
      </c>
      <c r="AO468" s="7">
        <v>2.5926906385971331</v>
      </c>
      <c r="AP468" s="7">
        <v>0.20285772703086868</v>
      </c>
      <c r="AQ468" s="7">
        <v>7.8715361430286235E-2</v>
      </c>
      <c r="AR468" s="7">
        <v>0.11508352438402292</v>
      </c>
      <c r="AS468" s="7">
        <v>4.3465311074921704</v>
      </c>
      <c r="AT468" s="8">
        <v>0.44882216281410364</v>
      </c>
    </row>
    <row r="469" spans="1:46" x14ac:dyDescent="0.3">
      <c r="A469" t="str">
        <f t="shared" si="22"/>
        <v>202411 &amp; Segm SDC &gt; Les Eco-responsables</v>
      </c>
      <c r="B469">
        <v>202411</v>
      </c>
      <c r="C469" t="s">
        <v>59</v>
      </c>
      <c r="D469" t="s">
        <v>67</v>
      </c>
      <c r="E469" s="4">
        <v>0</v>
      </c>
      <c r="F469" s="4">
        <v>22734915.301306318</v>
      </c>
      <c r="H469" s="2">
        <v>471663.06306306302</v>
      </c>
      <c r="I469" s="2">
        <v>338001.75</v>
      </c>
      <c r="J469" s="3">
        <v>67.262714767915611</v>
      </c>
      <c r="K469" s="6">
        <v>1.3954456243586402</v>
      </c>
      <c r="L469" s="3">
        <v>48.201602121781114</v>
      </c>
      <c r="M469" s="53">
        <v>7.7086892798069406E-2</v>
      </c>
      <c r="N469" s="53">
        <v>8.2051109322826957E-2</v>
      </c>
      <c r="O469" s="4">
        <v>1007120.3826576575</v>
      </c>
      <c r="P469" s="5">
        <v>4.4298400469509981E-2</v>
      </c>
      <c r="V469" s="4">
        <v>0</v>
      </c>
      <c r="W469" s="4">
        <v>32891836.342792805</v>
      </c>
      <c r="Y469" s="2">
        <v>631149.09909909905</v>
      </c>
      <c r="Z469" s="2">
        <v>448614.75</v>
      </c>
      <c r="AA469" s="3">
        <v>73.31866895324508</v>
      </c>
      <c r="AB469" s="6">
        <v>1.4068844127374303</v>
      </c>
      <c r="AC469" s="3">
        <v>52.11420944709031</v>
      </c>
      <c r="AD469" s="4">
        <v>1963787.2387387394</v>
      </c>
      <c r="AE469" s="5">
        <v>5.9704396503512357E-2</v>
      </c>
      <c r="AL469" s="7">
        <v>-0.30879762794733867</v>
      </c>
      <c r="AN469" s="7">
        <v>-0.25269153717193937</v>
      </c>
      <c r="AO469" s="7">
        <v>-0.24656567801214735</v>
      </c>
      <c r="AP469" s="7">
        <v>-8.2597710402944169E-2</v>
      </c>
      <c r="AQ469" s="7">
        <v>-8.1305814999635961E-3</v>
      </c>
      <c r="AR469" s="7">
        <v>-7.5077553067010028E-2</v>
      </c>
      <c r="AS469" s="7">
        <v>-0.48715402422897403</v>
      </c>
      <c r="AT469" s="8">
        <v>-1.5405996034002376</v>
      </c>
    </row>
    <row r="470" spans="1:46" x14ac:dyDescent="0.3">
      <c r="A470" t="str">
        <f t="shared" si="22"/>
        <v>202411 &amp; Segm SDC &gt; Les Eco-responsables</v>
      </c>
      <c r="B470">
        <v>202411</v>
      </c>
      <c r="C470" t="s">
        <v>59</v>
      </c>
      <c r="D470" t="s">
        <v>67</v>
      </c>
      <c r="E470" s="4">
        <v>0</v>
      </c>
      <c r="F470" s="4">
        <v>22734915.301306318</v>
      </c>
      <c r="H470" s="2">
        <v>471663.06306306302</v>
      </c>
      <c r="I470" s="2">
        <v>338001.75</v>
      </c>
      <c r="J470" s="3">
        <v>67.262714767915611</v>
      </c>
      <c r="K470" s="6">
        <v>1.3954456243586402</v>
      </c>
      <c r="L470" s="3">
        <v>48.201602121781114</v>
      </c>
      <c r="M470" s="53">
        <v>7.7086892798069406E-2</v>
      </c>
      <c r="N470" s="53">
        <v>8.2051109322826957E-2</v>
      </c>
      <c r="O470" s="4">
        <v>1007120.3826576575</v>
      </c>
      <c r="P470" s="5">
        <v>4.4298400469509981E-2</v>
      </c>
      <c r="V470" s="4">
        <v>0</v>
      </c>
      <c r="W470" s="4">
        <v>32891836.342792805</v>
      </c>
      <c r="Y470" s="2">
        <v>631149.09909909905</v>
      </c>
      <c r="Z470" s="2">
        <v>448614.75</v>
      </c>
      <c r="AA470" s="3">
        <v>73.31866895324508</v>
      </c>
      <c r="AB470" s="6">
        <v>1.4068844127374303</v>
      </c>
      <c r="AC470" s="3">
        <v>52.11420944709031</v>
      </c>
      <c r="AD470" s="4">
        <v>1963787.2387387394</v>
      </c>
      <c r="AE470" s="5">
        <v>5.9704396503512357E-2</v>
      </c>
      <c r="AL470" s="7">
        <v>-0.30879762794733867</v>
      </c>
      <c r="AN470" s="7">
        <v>-0.25269153717193937</v>
      </c>
      <c r="AO470" s="7">
        <v>-0.24656567801214735</v>
      </c>
      <c r="AP470" s="7">
        <v>-8.2597710402944169E-2</v>
      </c>
      <c r="AQ470" s="7">
        <v>-8.1305814999635961E-3</v>
      </c>
      <c r="AR470" s="7">
        <v>-7.5077553067010028E-2</v>
      </c>
      <c r="AS470" s="7">
        <v>-0.48715402422897403</v>
      </c>
      <c r="AT470" s="8">
        <v>-1.5405996034002376</v>
      </c>
    </row>
    <row r="471" spans="1:46" x14ac:dyDescent="0.3">
      <c r="A471" t="str">
        <f t="shared" si="22"/>
        <v>202411 &amp; Segm SDC &gt; Les Eco-responsables</v>
      </c>
      <c r="B471">
        <v>202411</v>
      </c>
      <c r="C471" t="s">
        <v>59</v>
      </c>
      <c r="D471" t="s">
        <v>67</v>
      </c>
      <c r="E471" s="4">
        <v>0</v>
      </c>
      <c r="F471" s="4">
        <v>22734915.301306318</v>
      </c>
      <c r="H471" s="2">
        <v>471663.06306306302</v>
      </c>
      <c r="I471" s="2">
        <v>338001.75</v>
      </c>
      <c r="J471" s="3">
        <v>67.262714767915611</v>
      </c>
      <c r="K471" s="6">
        <v>1.3954456243586402</v>
      </c>
      <c r="L471" s="3">
        <v>48.201602121781114</v>
      </c>
      <c r="M471" s="53">
        <v>7.7086892798069406E-2</v>
      </c>
      <c r="N471" s="53">
        <v>8.2051109322826957E-2</v>
      </c>
      <c r="O471" s="4">
        <v>1007120.3826576575</v>
      </c>
      <c r="P471" s="5">
        <v>4.4298400469509981E-2</v>
      </c>
      <c r="V471" s="4">
        <v>0</v>
      </c>
      <c r="W471" s="4">
        <v>32891836.342792805</v>
      </c>
      <c r="Y471" s="2">
        <v>631149.09909909905</v>
      </c>
      <c r="Z471" s="2">
        <v>448614.75</v>
      </c>
      <c r="AA471" s="3">
        <v>73.31866895324508</v>
      </c>
      <c r="AB471" s="6">
        <v>1.4068844127374303</v>
      </c>
      <c r="AC471" s="3">
        <v>52.11420944709031</v>
      </c>
      <c r="AD471" s="4">
        <v>1963787.2387387394</v>
      </c>
      <c r="AE471" s="5">
        <v>5.9704396503512357E-2</v>
      </c>
      <c r="AL471" s="7">
        <v>-0.30879762794733867</v>
      </c>
      <c r="AN471" s="7">
        <v>-0.25269153717193937</v>
      </c>
      <c r="AO471" s="7">
        <v>-0.24656567801214735</v>
      </c>
      <c r="AP471" s="7">
        <v>-8.2597710402944169E-2</v>
      </c>
      <c r="AQ471" s="7">
        <v>-8.1305814999635961E-3</v>
      </c>
      <c r="AR471" s="7">
        <v>-7.5077553067010028E-2</v>
      </c>
      <c r="AS471" s="7">
        <v>-0.48715402422897403</v>
      </c>
      <c r="AT471" s="8">
        <v>-1.5405996034002376</v>
      </c>
    </row>
    <row r="472" spans="1:46" x14ac:dyDescent="0.3">
      <c r="A472" t="str">
        <f t="shared" si="22"/>
        <v>202411 &amp; Segm SDC &gt; Les Eco-responsables</v>
      </c>
      <c r="B472">
        <v>202411</v>
      </c>
      <c r="C472" t="s">
        <v>59</v>
      </c>
      <c r="D472" t="s">
        <v>67</v>
      </c>
      <c r="E472" s="4">
        <v>0</v>
      </c>
      <c r="F472" s="4">
        <v>22734915.301306318</v>
      </c>
      <c r="H472" s="2">
        <v>471663.06306306302</v>
      </c>
      <c r="I472" s="2">
        <v>338001.75</v>
      </c>
      <c r="J472" s="3">
        <v>67.262714767915611</v>
      </c>
      <c r="K472" s="6">
        <v>1.3954456243586402</v>
      </c>
      <c r="L472" s="3">
        <v>48.201602121781114</v>
      </c>
      <c r="M472" s="53">
        <v>7.7086892798069406E-2</v>
      </c>
      <c r="N472" s="53">
        <v>8.2051109322826957E-2</v>
      </c>
      <c r="O472" s="4">
        <v>1007120.3826576575</v>
      </c>
      <c r="P472" s="5">
        <v>4.4298400469509981E-2</v>
      </c>
      <c r="V472" s="4">
        <v>0</v>
      </c>
      <c r="W472" s="4">
        <v>32891836.342792805</v>
      </c>
      <c r="Y472" s="2">
        <v>631149.09909909905</v>
      </c>
      <c r="Z472" s="2">
        <v>448614.75</v>
      </c>
      <c r="AA472" s="3">
        <v>73.31866895324508</v>
      </c>
      <c r="AB472" s="6">
        <v>1.4068844127374303</v>
      </c>
      <c r="AC472" s="3">
        <v>52.11420944709031</v>
      </c>
      <c r="AD472" s="4">
        <v>1963787.2387387394</v>
      </c>
      <c r="AE472" s="5">
        <v>5.9704396503512357E-2</v>
      </c>
      <c r="AL472" s="7">
        <v>-0.30879762794733867</v>
      </c>
      <c r="AN472" s="7">
        <v>-0.25269153717193937</v>
      </c>
      <c r="AO472" s="7">
        <v>-0.24656567801214735</v>
      </c>
      <c r="AP472" s="7">
        <v>-8.2597710402944169E-2</v>
      </c>
      <c r="AQ472" s="7">
        <v>-8.1305814999635961E-3</v>
      </c>
      <c r="AR472" s="7">
        <v>-7.5077553067010028E-2</v>
      </c>
      <c r="AS472" s="7">
        <v>-0.48715402422897403</v>
      </c>
      <c r="AT472" s="8">
        <v>-1.5405996034002376</v>
      </c>
    </row>
    <row r="473" spans="1:46" x14ac:dyDescent="0.3">
      <c r="A473" t="str">
        <f t="shared" si="22"/>
        <v>202408 &amp; Segm SDC &gt; Les Eco-responsables</v>
      </c>
      <c r="B473">
        <v>202408</v>
      </c>
      <c r="C473" t="s">
        <v>59</v>
      </c>
      <c r="D473" t="s">
        <v>67</v>
      </c>
      <c r="E473" s="4">
        <v>0</v>
      </c>
      <c r="F473" s="4">
        <v>35669161.376801796</v>
      </c>
      <c r="H473" s="2">
        <v>680437.16216216213</v>
      </c>
      <c r="I473" s="2">
        <v>454729.5</v>
      </c>
      <c r="J473" s="3">
        <v>78.440394513225542</v>
      </c>
      <c r="K473" s="6">
        <v>1.4963558822600296</v>
      </c>
      <c r="L473" s="3">
        <v>52.420948414191848</v>
      </c>
      <c r="M473" s="53">
        <v>0.11890498589708366</v>
      </c>
      <c r="N473" s="53">
        <v>0.11097592873010786</v>
      </c>
      <c r="O473" s="4">
        <v>926739.47568806319</v>
      </c>
      <c r="P473" s="5">
        <v>2.598153250361496E-2</v>
      </c>
      <c r="V473" s="4">
        <v>0</v>
      </c>
      <c r="W473" s="4">
        <v>33534133.75211712</v>
      </c>
      <c r="Y473" s="2">
        <v>650483.55855855846</v>
      </c>
      <c r="Z473" s="2">
        <v>449437.5</v>
      </c>
      <c r="AA473" s="3">
        <v>74.613564182154633</v>
      </c>
      <c r="AB473" s="6">
        <v>1.4473281792430726</v>
      </c>
      <c r="AC473" s="3">
        <v>51.552623138434448</v>
      </c>
      <c r="AD473" s="4">
        <v>882081.81763513526</v>
      </c>
      <c r="AE473" s="5">
        <v>2.6303998909154663E-2</v>
      </c>
      <c r="AL473" s="7">
        <v>6.3667296148655961E-2</v>
      </c>
      <c r="AN473" s="7">
        <v>4.6048210149968183E-2</v>
      </c>
      <c r="AO473" s="7">
        <v>1.1774718397997486E-2</v>
      </c>
      <c r="AP473" s="7">
        <v>5.1288668126460824E-2</v>
      </c>
      <c r="AQ473" s="7">
        <v>3.3874627551712333E-2</v>
      </c>
      <c r="AR473" s="7">
        <v>1.6843474160872063E-2</v>
      </c>
      <c r="AS473" s="7">
        <v>5.0627568962542835E-2</v>
      </c>
      <c r="AT473" s="8">
        <v>-3.2246640553970293E-2</v>
      </c>
    </row>
    <row r="474" spans="1:46" x14ac:dyDescent="0.3">
      <c r="A474" t="str">
        <f t="shared" si="22"/>
        <v>202408 &amp; Segm SDC &gt; Les Eco-responsables</v>
      </c>
      <c r="B474">
        <v>202408</v>
      </c>
      <c r="C474" t="s">
        <v>59</v>
      </c>
      <c r="D474" t="s">
        <v>67</v>
      </c>
      <c r="E474" s="4">
        <v>0</v>
      </c>
      <c r="F474" s="4">
        <v>35669161.376801796</v>
      </c>
      <c r="H474" s="2">
        <v>680437.16216216213</v>
      </c>
      <c r="I474" s="2">
        <v>454729.5</v>
      </c>
      <c r="J474" s="3">
        <v>78.440394513225542</v>
      </c>
      <c r="K474" s="6">
        <v>1.4963558822600296</v>
      </c>
      <c r="L474" s="3">
        <v>52.420948414191848</v>
      </c>
      <c r="M474" s="53">
        <v>0.11890498589708366</v>
      </c>
      <c r="N474" s="53">
        <v>0.11097592873010786</v>
      </c>
      <c r="O474" s="4">
        <v>926739.47568806319</v>
      </c>
      <c r="P474" s="5">
        <v>2.598153250361496E-2</v>
      </c>
      <c r="V474" s="4">
        <v>0</v>
      </c>
      <c r="W474" s="4">
        <v>33534133.75211712</v>
      </c>
      <c r="Y474" s="2">
        <v>650483.55855855846</v>
      </c>
      <c r="Z474" s="2">
        <v>449437.5</v>
      </c>
      <c r="AA474" s="3">
        <v>74.613564182154633</v>
      </c>
      <c r="AB474" s="6">
        <v>1.4473281792430726</v>
      </c>
      <c r="AC474" s="3">
        <v>51.552623138434448</v>
      </c>
      <c r="AD474" s="4">
        <v>882081.81763513526</v>
      </c>
      <c r="AE474" s="5">
        <v>2.6303998909154663E-2</v>
      </c>
      <c r="AL474" s="7">
        <v>6.3667296148655961E-2</v>
      </c>
      <c r="AN474" s="7">
        <v>4.6048210149968183E-2</v>
      </c>
      <c r="AO474" s="7">
        <v>1.1774718397997486E-2</v>
      </c>
      <c r="AP474" s="7">
        <v>5.1288668126460824E-2</v>
      </c>
      <c r="AQ474" s="7">
        <v>3.3874627551712333E-2</v>
      </c>
      <c r="AR474" s="7">
        <v>1.6843474160872063E-2</v>
      </c>
      <c r="AS474" s="7">
        <v>5.0627568962542835E-2</v>
      </c>
      <c r="AT474" s="8">
        <v>-3.2246640553970293E-2</v>
      </c>
    </row>
    <row r="475" spans="1:46" x14ac:dyDescent="0.3">
      <c r="A475" t="str">
        <f t="shared" si="22"/>
        <v>202408 &amp; Segm SDC &gt; Les Eco-responsables</v>
      </c>
      <c r="B475">
        <v>202408</v>
      </c>
      <c r="C475" t="s">
        <v>59</v>
      </c>
      <c r="D475" t="s">
        <v>67</v>
      </c>
      <c r="E475" s="4">
        <v>0</v>
      </c>
      <c r="F475" s="4">
        <v>35669161.376801796</v>
      </c>
      <c r="H475" s="2">
        <v>680437.16216216213</v>
      </c>
      <c r="I475" s="2">
        <v>454729.5</v>
      </c>
      <c r="J475" s="3">
        <v>78.440394513225542</v>
      </c>
      <c r="K475" s="6">
        <v>1.4963558822600296</v>
      </c>
      <c r="L475" s="3">
        <v>52.420948414191848</v>
      </c>
      <c r="M475" s="53">
        <v>0.11890498589708366</v>
      </c>
      <c r="N475" s="53">
        <v>0.11097592873010786</v>
      </c>
      <c r="O475" s="4">
        <v>926739.47568806319</v>
      </c>
      <c r="P475" s="5">
        <v>2.598153250361496E-2</v>
      </c>
      <c r="V475" s="4">
        <v>0</v>
      </c>
      <c r="W475" s="4">
        <v>33534133.75211712</v>
      </c>
      <c r="Y475" s="2">
        <v>650483.55855855846</v>
      </c>
      <c r="Z475" s="2">
        <v>449437.5</v>
      </c>
      <c r="AA475" s="3">
        <v>74.613564182154633</v>
      </c>
      <c r="AB475" s="6">
        <v>1.4473281792430726</v>
      </c>
      <c r="AC475" s="3">
        <v>51.552623138434448</v>
      </c>
      <c r="AD475" s="4">
        <v>882081.81763513526</v>
      </c>
      <c r="AE475" s="5">
        <v>2.6303998909154663E-2</v>
      </c>
      <c r="AL475" s="7">
        <v>6.3667296148655961E-2</v>
      </c>
      <c r="AN475" s="7">
        <v>4.6048210149968183E-2</v>
      </c>
      <c r="AO475" s="7">
        <v>1.1774718397997486E-2</v>
      </c>
      <c r="AP475" s="7">
        <v>5.1288668126460824E-2</v>
      </c>
      <c r="AQ475" s="7">
        <v>3.3874627551712333E-2</v>
      </c>
      <c r="AR475" s="7">
        <v>1.6843474160872063E-2</v>
      </c>
      <c r="AS475" s="7">
        <v>5.0627568962542835E-2</v>
      </c>
      <c r="AT475" s="8">
        <v>-3.2246640553970293E-2</v>
      </c>
    </row>
    <row r="476" spans="1:46" x14ac:dyDescent="0.3">
      <c r="A476" t="str">
        <f t="shared" si="22"/>
        <v>202408 &amp; Segm SDC &gt; Les Eco-responsables</v>
      </c>
      <c r="B476">
        <v>202408</v>
      </c>
      <c r="C476" t="s">
        <v>59</v>
      </c>
      <c r="D476" t="s">
        <v>67</v>
      </c>
      <c r="E476" s="4">
        <v>0</v>
      </c>
      <c r="F476" s="4">
        <v>35669161.376801796</v>
      </c>
      <c r="H476" s="2">
        <v>680437.16216216213</v>
      </c>
      <c r="I476" s="2">
        <v>454729.5</v>
      </c>
      <c r="J476" s="3">
        <v>78.440394513225542</v>
      </c>
      <c r="K476" s="6">
        <v>1.4963558822600296</v>
      </c>
      <c r="L476" s="3">
        <v>52.420948414191848</v>
      </c>
      <c r="M476" s="53">
        <v>0.11890498589708366</v>
      </c>
      <c r="N476" s="53">
        <v>0.11097592873010786</v>
      </c>
      <c r="O476" s="4">
        <v>926739.47568806319</v>
      </c>
      <c r="P476" s="5">
        <v>2.598153250361496E-2</v>
      </c>
      <c r="V476" s="4">
        <v>0</v>
      </c>
      <c r="W476" s="4">
        <v>33534133.75211712</v>
      </c>
      <c r="Y476" s="2">
        <v>650483.55855855846</v>
      </c>
      <c r="Z476" s="2">
        <v>449437.5</v>
      </c>
      <c r="AA476" s="3">
        <v>74.613564182154633</v>
      </c>
      <c r="AB476" s="6">
        <v>1.4473281792430726</v>
      </c>
      <c r="AC476" s="3">
        <v>51.552623138434448</v>
      </c>
      <c r="AD476" s="4">
        <v>882081.81763513526</v>
      </c>
      <c r="AE476" s="5">
        <v>2.6303998909154663E-2</v>
      </c>
      <c r="AL476" s="7">
        <v>6.3667296148655961E-2</v>
      </c>
      <c r="AN476" s="7">
        <v>4.6048210149968183E-2</v>
      </c>
      <c r="AO476" s="7">
        <v>1.1774718397997486E-2</v>
      </c>
      <c r="AP476" s="7">
        <v>5.1288668126460824E-2</v>
      </c>
      <c r="AQ476" s="7">
        <v>3.3874627551712333E-2</v>
      </c>
      <c r="AR476" s="7">
        <v>1.6843474160872063E-2</v>
      </c>
      <c r="AS476" s="7">
        <v>5.0627568962542835E-2</v>
      </c>
      <c r="AT476" s="8">
        <v>-3.2246640553970293E-2</v>
      </c>
    </row>
    <row r="477" spans="1:46" x14ac:dyDescent="0.3">
      <c r="A477" t="str">
        <f t="shared" si="22"/>
        <v>202410 &amp; Segm SDC &gt; Les Eco-responsables</v>
      </c>
      <c r="B477">
        <v>202410</v>
      </c>
      <c r="C477" t="s">
        <v>59</v>
      </c>
      <c r="D477" t="s">
        <v>67</v>
      </c>
      <c r="E477" s="4">
        <v>0</v>
      </c>
      <c r="F477" s="4">
        <v>22119294.805315308</v>
      </c>
      <c r="H477" s="2">
        <v>484632.20720720716</v>
      </c>
      <c r="I477" s="2">
        <v>339412.5</v>
      </c>
      <c r="J477" s="3">
        <v>65.169358244953585</v>
      </c>
      <c r="K477" s="6">
        <v>1.427856096069553</v>
      </c>
      <c r="L477" s="3">
        <v>45.641404917725751</v>
      </c>
      <c r="M477" s="53">
        <v>7.6750899059323363E-2</v>
      </c>
      <c r="N477" s="53">
        <v>8.2252880123083974E-2</v>
      </c>
      <c r="O477" s="4">
        <v>607027.66195945919</v>
      </c>
      <c r="P477" s="5">
        <v>2.7443355102513906E-2</v>
      </c>
      <c r="V477" s="4">
        <v>0</v>
      </c>
      <c r="W477" s="4">
        <v>32513086.886441439</v>
      </c>
      <c r="Y477" s="2">
        <v>651032.43243243243</v>
      </c>
      <c r="Z477" s="2">
        <v>451924.5</v>
      </c>
      <c r="AA477" s="3">
        <v>71.943625287943973</v>
      </c>
      <c r="AB477" s="6">
        <v>1.4405778673925234</v>
      </c>
      <c r="AC477" s="3">
        <v>49.940809807222344</v>
      </c>
      <c r="AD477" s="4">
        <v>1083737.984752252</v>
      </c>
      <c r="AE477" s="5">
        <v>3.3332362089684903E-2</v>
      </c>
      <c r="AL477" s="7">
        <v>-0.31968026036495889</v>
      </c>
      <c r="AN477" s="7">
        <v>-0.25559437124124407</v>
      </c>
      <c r="AO477" s="7">
        <v>-0.24896193943899925</v>
      </c>
      <c r="AP477" s="7">
        <v>-9.4160768461102218E-2</v>
      </c>
      <c r="AQ477" s="7">
        <v>-8.8310195588364726E-3</v>
      </c>
      <c r="AR477" s="7">
        <v>-8.609001147744344E-2</v>
      </c>
      <c r="AS477" s="7">
        <v>-0.43987599355186502</v>
      </c>
      <c r="AT477" s="8">
        <v>-0.5889006987170996</v>
      </c>
    </row>
    <row r="478" spans="1:46" x14ac:dyDescent="0.3">
      <c r="A478" t="str">
        <f t="shared" si="22"/>
        <v>202410 &amp; Segm SDC &gt; Les Eco-responsables</v>
      </c>
      <c r="B478">
        <v>202410</v>
      </c>
      <c r="C478" t="s">
        <v>59</v>
      </c>
      <c r="D478" t="s">
        <v>67</v>
      </c>
      <c r="E478" s="4">
        <v>0</v>
      </c>
      <c r="F478" s="4">
        <v>22119294.805315308</v>
      </c>
      <c r="H478" s="2">
        <v>484632.20720720716</v>
      </c>
      <c r="I478" s="2">
        <v>339412.5</v>
      </c>
      <c r="J478" s="3">
        <v>65.169358244953585</v>
      </c>
      <c r="K478" s="6">
        <v>1.427856096069553</v>
      </c>
      <c r="L478" s="3">
        <v>45.641404917725751</v>
      </c>
      <c r="M478" s="53">
        <v>7.6750899059323363E-2</v>
      </c>
      <c r="N478" s="53">
        <v>8.2252880123083974E-2</v>
      </c>
      <c r="O478" s="4">
        <v>607027.66195945919</v>
      </c>
      <c r="P478" s="5">
        <v>2.7443355102513906E-2</v>
      </c>
      <c r="V478" s="4">
        <v>0</v>
      </c>
      <c r="W478" s="4">
        <v>32513086.886441439</v>
      </c>
      <c r="Y478" s="2">
        <v>651032.43243243243</v>
      </c>
      <c r="Z478" s="2">
        <v>451924.5</v>
      </c>
      <c r="AA478" s="3">
        <v>71.943625287943973</v>
      </c>
      <c r="AB478" s="6">
        <v>1.4405778673925234</v>
      </c>
      <c r="AC478" s="3">
        <v>49.940809807222344</v>
      </c>
      <c r="AD478" s="4">
        <v>1083737.984752252</v>
      </c>
      <c r="AE478" s="5">
        <v>3.3332362089684903E-2</v>
      </c>
      <c r="AL478" s="7">
        <v>-0.31968026036495889</v>
      </c>
      <c r="AN478" s="7">
        <v>-0.25559437124124407</v>
      </c>
      <c r="AO478" s="7">
        <v>-0.24896193943899925</v>
      </c>
      <c r="AP478" s="7">
        <v>-9.4160768461102218E-2</v>
      </c>
      <c r="AQ478" s="7">
        <v>-8.8310195588364726E-3</v>
      </c>
      <c r="AR478" s="7">
        <v>-8.609001147744344E-2</v>
      </c>
      <c r="AS478" s="7">
        <v>-0.43987599355186502</v>
      </c>
      <c r="AT478" s="8">
        <v>-0.5889006987170996</v>
      </c>
    </row>
    <row r="479" spans="1:46" x14ac:dyDescent="0.3">
      <c r="A479" t="str">
        <f t="shared" si="22"/>
        <v>202410 &amp; Segm SDC &gt; Les Eco-responsables</v>
      </c>
      <c r="B479">
        <v>202410</v>
      </c>
      <c r="C479" t="s">
        <v>59</v>
      </c>
      <c r="D479" t="s">
        <v>67</v>
      </c>
      <c r="E479" s="4">
        <v>0</v>
      </c>
      <c r="F479" s="4">
        <v>22119294.805315308</v>
      </c>
      <c r="H479" s="2">
        <v>484632.20720720716</v>
      </c>
      <c r="I479" s="2">
        <v>339412.5</v>
      </c>
      <c r="J479" s="3">
        <v>65.169358244953585</v>
      </c>
      <c r="K479" s="6">
        <v>1.427856096069553</v>
      </c>
      <c r="L479" s="3">
        <v>45.641404917725751</v>
      </c>
      <c r="M479" s="53">
        <v>7.6750899059323363E-2</v>
      </c>
      <c r="N479" s="53">
        <v>8.2252880123083974E-2</v>
      </c>
      <c r="O479" s="4">
        <v>607027.66195945919</v>
      </c>
      <c r="P479" s="5">
        <v>2.7443355102513906E-2</v>
      </c>
      <c r="V479" s="4">
        <v>0</v>
      </c>
      <c r="W479" s="4">
        <v>32513086.886441439</v>
      </c>
      <c r="Y479" s="2">
        <v>651032.43243243243</v>
      </c>
      <c r="Z479" s="2">
        <v>451924.5</v>
      </c>
      <c r="AA479" s="3">
        <v>71.943625287943973</v>
      </c>
      <c r="AB479" s="6">
        <v>1.4405778673925234</v>
      </c>
      <c r="AC479" s="3">
        <v>49.940809807222344</v>
      </c>
      <c r="AD479" s="4">
        <v>1083737.984752252</v>
      </c>
      <c r="AE479" s="5">
        <v>3.3332362089684903E-2</v>
      </c>
      <c r="AL479" s="7">
        <v>-0.31968026036495889</v>
      </c>
      <c r="AN479" s="7">
        <v>-0.25559437124124407</v>
      </c>
      <c r="AO479" s="7">
        <v>-0.24896193943899925</v>
      </c>
      <c r="AP479" s="7">
        <v>-9.4160768461102218E-2</v>
      </c>
      <c r="AQ479" s="7">
        <v>-8.8310195588364726E-3</v>
      </c>
      <c r="AR479" s="7">
        <v>-8.609001147744344E-2</v>
      </c>
      <c r="AS479" s="7">
        <v>-0.43987599355186502</v>
      </c>
      <c r="AT479" s="8">
        <v>-0.5889006987170996</v>
      </c>
    </row>
    <row r="480" spans="1:46" x14ac:dyDescent="0.3">
      <c r="A480" t="str">
        <f t="shared" si="22"/>
        <v>202410 &amp; Segm SDC &gt; Les Eco-responsables</v>
      </c>
      <c r="B480">
        <v>202410</v>
      </c>
      <c r="C480" t="s">
        <v>59</v>
      </c>
      <c r="D480" t="s">
        <v>67</v>
      </c>
      <c r="E480" s="4">
        <v>0</v>
      </c>
      <c r="F480" s="4">
        <v>22119294.805315308</v>
      </c>
      <c r="H480" s="2">
        <v>484632.20720720716</v>
      </c>
      <c r="I480" s="2">
        <v>339412.5</v>
      </c>
      <c r="J480" s="3">
        <v>65.169358244953585</v>
      </c>
      <c r="K480" s="6">
        <v>1.427856096069553</v>
      </c>
      <c r="L480" s="3">
        <v>45.641404917725751</v>
      </c>
      <c r="M480" s="53">
        <v>7.6750899059323363E-2</v>
      </c>
      <c r="N480" s="53">
        <v>8.2252880123083974E-2</v>
      </c>
      <c r="O480" s="4">
        <v>607027.66195945919</v>
      </c>
      <c r="P480" s="5">
        <v>2.7443355102513906E-2</v>
      </c>
      <c r="V480" s="4">
        <v>0</v>
      </c>
      <c r="W480" s="4">
        <v>32513086.886441439</v>
      </c>
      <c r="Y480" s="2">
        <v>651032.43243243243</v>
      </c>
      <c r="Z480" s="2">
        <v>451924.5</v>
      </c>
      <c r="AA480" s="3">
        <v>71.943625287943973</v>
      </c>
      <c r="AB480" s="6">
        <v>1.4405778673925234</v>
      </c>
      <c r="AC480" s="3">
        <v>49.940809807222344</v>
      </c>
      <c r="AD480" s="4">
        <v>1083737.984752252</v>
      </c>
      <c r="AE480" s="5">
        <v>3.3332362089684903E-2</v>
      </c>
      <c r="AL480" s="7">
        <v>-0.31968026036495889</v>
      </c>
      <c r="AN480" s="7">
        <v>-0.25559437124124407</v>
      </c>
      <c r="AO480" s="7">
        <v>-0.24896193943899925</v>
      </c>
      <c r="AP480" s="7">
        <v>-9.4160768461102218E-2</v>
      </c>
      <c r="AQ480" s="7">
        <v>-8.8310195588364726E-3</v>
      </c>
      <c r="AR480" s="7">
        <v>-8.609001147744344E-2</v>
      </c>
      <c r="AS480" s="7">
        <v>-0.43987599355186502</v>
      </c>
      <c r="AT480" s="8">
        <v>-0.5889006987170996</v>
      </c>
    </row>
    <row r="481" spans="1:46" x14ac:dyDescent="0.3">
      <c r="A481" t="str">
        <f t="shared" si="22"/>
        <v>202411 &amp; Segm SDC &gt; Les Eco-responsables</v>
      </c>
      <c r="B481">
        <v>202411</v>
      </c>
      <c r="C481" t="s">
        <v>59</v>
      </c>
      <c r="D481" t="s">
        <v>67</v>
      </c>
      <c r="E481" s="4">
        <v>0</v>
      </c>
      <c r="F481" s="4">
        <v>39397291.422567561</v>
      </c>
      <c r="H481" s="2">
        <v>750888.96396396391</v>
      </c>
      <c r="I481" s="2">
        <v>515283</v>
      </c>
      <c r="J481" s="3">
        <v>76.457580441364385</v>
      </c>
      <c r="K481" s="6">
        <v>1.4572360507991995</v>
      </c>
      <c r="L481" s="3">
        <v>52.467532902052731</v>
      </c>
      <c r="M481" s="53">
        <v>0.13358372970280041</v>
      </c>
      <c r="N481" s="53">
        <v>0.12508675403365291</v>
      </c>
      <c r="O481" s="4">
        <v>1854550.8223198208</v>
      </c>
      <c r="P481" s="5">
        <v>4.7073053891656537E-2</v>
      </c>
      <c r="V481" s="4">
        <v>0</v>
      </c>
      <c r="W481" s="4">
        <v>8301269.2785135172</v>
      </c>
      <c r="Y481" s="2">
        <v>176335.13513513512</v>
      </c>
      <c r="Z481" s="2">
        <v>132073.5</v>
      </c>
      <c r="AA481" s="3">
        <v>62.853405706016098</v>
      </c>
      <c r="AB481" s="6">
        <v>1.3351288118747147</v>
      </c>
      <c r="AC481" s="3">
        <v>47.076660429311531</v>
      </c>
      <c r="AD481" s="4">
        <v>454470.56441441446</v>
      </c>
      <c r="AE481" s="5">
        <v>5.4747117478858021E-2</v>
      </c>
      <c r="AL481" s="7">
        <v>3.7459358443582875</v>
      </c>
      <c r="AN481" s="7">
        <v>3.2583060000408723</v>
      </c>
      <c r="AO481" s="7">
        <v>2.9014866721938919</v>
      </c>
      <c r="AP481" s="7">
        <v>0.21644292115178332</v>
      </c>
      <c r="AQ481" s="7">
        <v>9.1457272016344682E-2</v>
      </c>
      <c r="AR481" s="7">
        <v>0.11451263584926386</v>
      </c>
      <c r="AS481" s="7">
        <v>3.0806841356368375</v>
      </c>
      <c r="AT481" s="8">
        <v>-0.7674063587201484</v>
      </c>
    </row>
    <row r="482" spans="1:46" x14ac:dyDescent="0.3">
      <c r="A482" t="str">
        <f t="shared" si="22"/>
        <v>202411 &amp; Segm SDC &gt; Les Eco-responsables</v>
      </c>
      <c r="B482">
        <v>202411</v>
      </c>
      <c r="C482" t="s">
        <v>59</v>
      </c>
      <c r="D482" t="s">
        <v>67</v>
      </c>
      <c r="E482" s="4">
        <v>0</v>
      </c>
      <c r="F482" s="4">
        <v>39397291.422567561</v>
      </c>
      <c r="H482" s="2">
        <v>750888.96396396391</v>
      </c>
      <c r="I482" s="2">
        <v>515283</v>
      </c>
      <c r="J482" s="3">
        <v>76.457580441364385</v>
      </c>
      <c r="K482" s="6">
        <v>1.4572360507991995</v>
      </c>
      <c r="L482" s="3">
        <v>52.467532902052731</v>
      </c>
      <c r="M482" s="53">
        <v>0.13358372970280041</v>
      </c>
      <c r="N482" s="53">
        <v>0.12508675403365291</v>
      </c>
      <c r="O482" s="4">
        <v>1854550.8223198208</v>
      </c>
      <c r="P482" s="5">
        <v>4.7073053891656537E-2</v>
      </c>
      <c r="V482" s="4">
        <v>0</v>
      </c>
      <c r="W482" s="4">
        <v>8301269.2785135172</v>
      </c>
      <c r="Y482" s="2">
        <v>176335.13513513512</v>
      </c>
      <c r="Z482" s="2">
        <v>132073.5</v>
      </c>
      <c r="AA482" s="3">
        <v>62.853405706016098</v>
      </c>
      <c r="AB482" s="6">
        <v>1.3351288118747147</v>
      </c>
      <c r="AC482" s="3">
        <v>47.076660429311531</v>
      </c>
      <c r="AD482" s="4">
        <v>454470.56441441446</v>
      </c>
      <c r="AE482" s="5">
        <v>5.4747117478858021E-2</v>
      </c>
      <c r="AL482" s="7">
        <v>3.7459358443582875</v>
      </c>
      <c r="AN482" s="7">
        <v>3.2583060000408723</v>
      </c>
      <c r="AO482" s="7">
        <v>2.9014866721938919</v>
      </c>
      <c r="AP482" s="7">
        <v>0.21644292115178332</v>
      </c>
      <c r="AQ482" s="7">
        <v>9.1457272016344682E-2</v>
      </c>
      <c r="AR482" s="7">
        <v>0.11451263584926386</v>
      </c>
      <c r="AS482" s="7">
        <v>3.0806841356368375</v>
      </c>
      <c r="AT482" s="8">
        <v>-0.7674063587201484</v>
      </c>
    </row>
    <row r="483" spans="1:46" x14ac:dyDescent="0.3">
      <c r="A483" t="str">
        <f t="shared" si="22"/>
        <v>202411 &amp; Segm SDC &gt; Les Eco-responsables</v>
      </c>
      <c r="B483">
        <v>202411</v>
      </c>
      <c r="C483" t="s">
        <v>59</v>
      </c>
      <c r="D483" t="s">
        <v>67</v>
      </c>
      <c r="E483" s="4">
        <v>0</v>
      </c>
      <c r="F483" s="4">
        <v>39397291.422567561</v>
      </c>
      <c r="H483" s="2">
        <v>750888.96396396391</v>
      </c>
      <c r="I483" s="2">
        <v>515283</v>
      </c>
      <c r="J483" s="3">
        <v>76.457580441364385</v>
      </c>
      <c r="K483" s="6">
        <v>1.4572360507991995</v>
      </c>
      <c r="L483" s="3">
        <v>52.467532902052731</v>
      </c>
      <c r="M483" s="53">
        <v>0.13358372970280041</v>
      </c>
      <c r="N483" s="53">
        <v>0.12508675403365291</v>
      </c>
      <c r="O483" s="4">
        <v>1854550.8223198208</v>
      </c>
      <c r="P483" s="5">
        <v>4.7073053891656537E-2</v>
      </c>
      <c r="V483" s="4">
        <v>0</v>
      </c>
      <c r="W483" s="4">
        <v>8301269.2785135172</v>
      </c>
      <c r="Y483" s="2">
        <v>176335.13513513512</v>
      </c>
      <c r="Z483" s="2">
        <v>132073.5</v>
      </c>
      <c r="AA483" s="3">
        <v>62.853405706016098</v>
      </c>
      <c r="AB483" s="6">
        <v>1.3351288118747147</v>
      </c>
      <c r="AC483" s="3">
        <v>47.076660429311531</v>
      </c>
      <c r="AD483" s="4">
        <v>454470.56441441446</v>
      </c>
      <c r="AE483" s="5">
        <v>5.4747117478858021E-2</v>
      </c>
      <c r="AL483" s="7">
        <v>3.7459358443582875</v>
      </c>
      <c r="AN483" s="7">
        <v>3.2583060000408723</v>
      </c>
      <c r="AO483" s="7">
        <v>2.9014866721938919</v>
      </c>
      <c r="AP483" s="7">
        <v>0.21644292115178332</v>
      </c>
      <c r="AQ483" s="7">
        <v>9.1457272016344682E-2</v>
      </c>
      <c r="AR483" s="7">
        <v>0.11451263584926386</v>
      </c>
      <c r="AS483" s="7">
        <v>3.0806841356368375</v>
      </c>
      <c r="AT483" s="8">
        <v>-0.7674063587201484</v>
      </c>
    </row>
    <row r="484" spans="1:46" x14ac:dyDescent="0.3">
      <c r="A484" t="str">
        <f t="shared" si="22"/>
        <v>202411 &amp; Segm SDC &gt; Les Eco-responsables</v>
      </c>
      <c r="B484">
        <v>202411</v>
      </c>
      <c r="C484" t="s">
        <v>59</v>
      </c>
      <c r="D484" t="s">
        <v>67</v>
      </c>
      <c r="E484" s="4">
        <v>0</v>
      </c>
      <c r="F484" s="4">
        <v>39397291.422567561</v>
      </c>
      <c r="H484" s="2">
        <v>750888.96396396391</v>
      </c>
      <c r="I484" s="2">
        <v>515283</v>
      </c>
      <c r="J484" s="3">
        <v>76.457580441364385</v>
      </c>
      <c r="K484" s="6">
        <v>1.4572360507991995</v>
      </c>
      <c r="L484" s="3">
        <v>52.467532902052731</v>
      </c>
      <c r="M484" s="53">
        <v>0.13358372970280041</v>
      </c>
      <c r="N484" s="53">
        <v>0.12508675403365291</v>
      </c>
      <c r="O484" s="4">
        <v>1854550.8223198208</v>
      </c>
      <c r="P484" s="5">
        <v>4.7073053891656537E-2</v>
      </c>
      <c r="V484" s="4">
        <v>0</v>
      </c>
      <c r="W484" s="4">
        <v>8301269.2785135172</v>
      </c>
      <c r="Y484" s="2">
        <v>176335.13513513512</v>
      </c>
      <c r="Z484" s="2">
        <v>132073.5</v>
      </c>
      <c r="AA484" s="3">
        <v>62.853405706016098</v>
      </c>
      <c r="AB484" s="6">
        <v>1.3351288118747147</v>
      </c>
      <c r="AC484" s="3">
        <v>47.076660429311531</v>
      </c>
      <c r="AD484" s="4">
        <v>454470.56441441446</v>
      </c>
      <c r="AE484" s="5">
        <v>5.4747117478858021E-2</v>
      </c>
      <c r="AL484" s="7">
        <v>3.7459358443582875</v>
      </c>
      <c r="AN484" s="7">
        <v>3.2583060000408723</v>
      </c>
      <c r="AO484" s="7">
        <v>2.9014866721938919</v>
      </c>
      <c r="AP484" s="7">
        <v>0.21644292115178332</v>
      </c>
      <c r="AQ484" s="7">
        <v>9.1457272016344682E-2</v>
      </c>
      <c r="AR484" s="7">
        <v>0.11451263584926386</v>
      </c>
      <c r="AS484" s="7">
        <v>3.0806841356368375</v>
      </c>
      <c r="AT484" s="8">
        <v>-0.7674063587201484</v>
      </c>
    </row>
    <row r="485" spans="1:46" x14ac:dyDescent="0.3">
      <c r="A485" t="str">
        <f t="shared" si="22"/>
        <v>202405 &amp; Segm SDC &gt; Les Eco-responsables</v>
      </c>
      <c r="B485">
        <v>202405</v>
      </c>
      <c r="C485" t="s">
        <v>59</v>
      </c>
      <c r="D485" t="s">
        <v>67</v>
      </c>
      <c r="E485" s="4">
        <v>0</v>
      </c>
      <c r="F485" s="4">
        <v>35457229.978828833</v>
      </c>
      <c r="H485" s="2">
        <v>678555.63063063053</v>
      </c>
      <c r="I485" s="2">
        <v>471268.5</v>
      </c>
      <c r="J485" s="3">
        <v>75.237852686587019</v>
      </c>
      <c r="K485" s="6">
        <v>1.4398493229032505</v>
      </c>
      <c r="L485" s="3">
        <v>52.253976502819491</v>
      </c>
      <c r="M485" s="53">
        <v>0.12449177021704259</v>
      </c>
      <c r="N485" s="53">
        <v>0.11636438115622888</v>
      </c>
      <c r="O485" s="4">
        <v>830065.43030360329</v>
      </c>
      <c r="P485" s="5">
        <v>2.3410329312222845E-2</v>
      </c>
      <c r="V485" s="4">
        <v>0</v>
      </c>
      <c r="W485" s="4">
        <v>33514075.437522531</v>
      </c>
      <c r="Y485" s="2">
        <v>634654.27927927917</v>
      </c>
      <c r="Z485" s="2">
        <v>447894</v>
      </c>
      <c r="AA485" s="3">
        <v>74.825908446021899</v>
      </c>
      <c r="AB485" s="6">
        <v>1.4169742824848719</v>
      </c>
      <c r="AC485" s="3">
        <v>52.806821811052004</v>
      </c>
      <c r="AD485" s="4">
        <v>669423.50551801769</v>
      </c>
      <c r="AE485" s="5">
        <v>1.9974398719904047E-2</v>
      </c>
      <c r="AL485" s="7">
        <v>5.798025205644608E-2</v>
      </c>
      <c r="AN485" s="7">
        <v>6.9173647424557227E-2</v>
      </c>
      <c r="AO485" s="7">
        <v>5.2187571166391944E-2</v>
      </c>
      <c r="AP485" s="7">
        <v>5.5053690509121456E-3</v>
      </c>
      <c r="AQ485" s="7">
        <v>1.6143581927446027E-2</v>
      </c>
      <c r="AR485" s="7">
        <v>-1.0469202449082227E-2</v>
      </c>
      <c r="AS485" s="7">
        <v>0.23997054698770492</v>
      </c>
      <c r="AT485" s="8">
        <v>0.34359305923187983</v>
      </c>
    </row>
    <row r="486" spans="1:46" x14ac:dyDescent="0.3">
      <c r="A486" t="str">
        <f t="shared" si="22"/>
        <v>202405 &amp; Segm SDC &gt; Les Eco-responsables</v>
      </c>
      <c r="B486">
        <v>202405</v>
      </c>
      <c r="C486" t="s">
        <v>59</v>
      </c>
      <c r="D486" t="s">
        <v>67</v>
      </c>
      <c r="E486" s="4">
        <v>0</v>
      </c>
      <c r="F486" s="4">
        <v>35457229.978828833</v>
      </c>
      <c r="H486" s="2">
        <v>678555.63063063053</v>
      </c>
      <c r="I486" s="2">
        <v>471268.5</v>
      </c>
      <c r="J486" s="3">
        <v>75.237852686587019</v>
      </c>
      <c r="K486" s="6">
        <v>1.4398493229032505</v>
      </c>
      <c r="L486" s="3">
        <v>52.253976502819491</v>
      </c>
      <c r="M486" s="53">
        <v>0.12449177021704259</v>
      </c>
      <c r="N486" s="53">
        <v>0.11636438115622888</v>
      </c>
      <c r="O486" s="4">
        <v>830065.43030360329</v>
      </c>
      <c r="P486" s="5">
        <v>2.3410329312222845E-2</v>
      </c>
      <c r="V486" s="4">
        <v>0</v>
      </c>
      <c r="W486" s="4">
        <v>33514075.437522531</v>
      </c>
      <c r="Y486" s="2">
        <v>634654.27927927917</v>
      </c>
      <c r="Z486" s="2">
        <v>447894</v>
      </c>
      <c r="AA486" s="3">
        <v>74.825908446021899</v>
      </c>
      <c r="AB486" s="6">
        <v>1.4169742824848719</v>
      </c>
      <c r="AC486" s="3">
        <v>52.806821811052004</v>
      </c>
      <c r="AD486" s="4">
        <v>669423.50551801769</v>
      </c>
      <c r="AE486" s="5">
        <v>1.9974398719904047E-2</v>
      </c>
      <c r="AL486" s="7">
        <v>5.798025205644608E-2</v>
      </c>
      <c r="AN486" s="7">
        <v>6.9173647424557227E-2</v>
      </c>
      <c r="AO486" s="7">
        <v>5.2187571166391944E-2</v>
      </c>
      <c r="AP486" s="7">
        <v>5.5053690509121456E-3</v>
      </c>
      <c r="AQ486" s="7">
        <v>1.6143581927446027E-2</v>
      </c>
      <c r="AR486" s="7">
        <v>-1.0469202449082227E-2</v>
      </c>
      <c r="AS486" s="7">
        <v>0.23997054698770492</v>
      </c>
      <c r="AT486" s="8">
        <v>0.34359305923187983</v>
      </c>
    </row>
    <row r="487" spans="1:46" x14ac:dyDescent="0.3">
      <c r="A487" t="str">
        <f t="shared" si="22"/>
        <v>202405 &amp; Segm SDC &gt; Les Eco-responsables</v>
      </c>
      <c r="B487">
        <v>202405</v>
      </c>
      <c r="C487" t="s">
        <v>59</v>
      </c>
      <c r="D487" t="s">
        <v>67</v>
      </c>
      <c r="E487" s="4">
        <v>0</v>
      </c>
      <c r="F487" s="4">
        <v>35457229.978828833</v>
      </c>
      <c r="H487" s="2">
        <v>678555.63063063053</v>
      </c>
      <c r="I487" s="2">
        <v>471268.5</v>
      </c>
      <c r="J487" s="3">
        <v>75.237852686587019</v>
      </c>
      <c r="K487" s="6">
        <v>1.4398493229032505</v>
      </c>
      <c r="L487" s="3">
        <v>52.253976502819491</v>
      </c>
      <c r="M487" s="53">
        <v>0.12449177021704259</v>
      </c>
      <c r="N487" s="53">
        <v>0.11636438115622888</v>
      </c>
      <c r="O487" s="4">
        <v>830065.43030360329</v>
      </c>
      <c r="P487" s="5">
        <v>2.3410329312222845E-2</v>
      </c>
      <c r="V487" s="4">
        <v>0</v>
      </c>
      <c r="W487" s="4">
        <v>33514075.437522531</v>
      </c>
      <c r="Y487" s="2">
        <v>634654.27927927917</v>
      </c>
      <c r="Z487" s="2">
        <v>447894</v>
      </c>
      <c r="AA487" s="3">
        <v>74.825908446021899</v>
      </c>
      <c r="AB487" s="6">
        <v>1.4169742824848719</v>
      </c>
      <c r="AC487" s="3">
        <v>52.806821811052004</v>
      </c>
      <c r="AD487" s="4">
        <v>669423.50551801769</v>
      </c>
      <c r="AE487" s="5">
        <v>1.9974398719904047E-2</v>
      </c>
      <c r="AL487" s="7">
        <v>5.798025205644608E-2</v>
      </c>
      <c r="AN487" s="7">
        <v>6.9173647424557227E-2</v>
      </c>
      <c r="AO487" s="7">
        <v>5.2187571166391944E-2</v>
      </c>
      <c r="AP487" s="7">
        <v>5.5053690509121456E-3</v>
      </c>
      <c r="AQ487" s="7">
        <v>1.6143581927446027E-2</v>
      </c>
      <c r="AR487" s="7">
        <v>-1.0469202449082227E-2</v>
      </c>
      <c r="AS487" s="7">
        <v>0.23997054698770492</v>
      </c>
      <c r="AT487" s="8">
        <v>0.34359305923187983</v>
      </c>
    </row>
    <row r="488" spans="1:46" x14ac:dyDescent="0.3">
      <c r="A488" t="str">
        <f t="shared" si="22"/>
        <v>202405 &amp; Segm SDC &gt; Les Eco-responsables</v>
      </c>
      <c r="B488">
        <v>202405</v>
      </c>
      <c r="C488" t="s">
        <v>59</v>
      </c>
      <c r="D488" t="s">
        <v>67</v>
      </c>
      <c r="E488" s="4">
        <v>0</v>
      </c>
      <c r="F488" s="4">
        <v>35457229.978828833</v>
      </c>
      <c r="H488" s="2">
        <v>678555.63063063053</v>
      </c>
      <c r="I488" s="2">
        <v>471268.5</v>
      </c>
      <c r="J488" s="3">
        <v>75.237852686587019</v>
      </c>
      <c r="K488" s="6">
        <v>1.4398493229032505</v>
      </c>
      <c r="L488" s="3">
        <v>52.253976502819491</v>
      </c>
      <c r="M488" s="53">
        <v>0.12449177021704259</v>
      </c>
      <c r="N488" s="53">
        <v>0.11636438115622888</v>
      </c>
      <c r="O488" s="4">
        <v>830065.43030360329</v>
      </c>
      <c r="P488" s="5">
        <v>2.3410329312222845E-2</v>
      </c>
      <c r="V488" s="4">
        <v>0</v>
      </c>
      <c r="W488" s="4">
        <v>33514075.437522531</v>
      </c>
      <c r="Y488" s="2">
        <v>634654.27927927917</v>
      </c>
      <c r="Z488" s="2">
        <v>447894</v>
      </c>
      <c r="AA488" s="3">
        <v>74.825908446021899</v>
      </c>
      <c r="AB488" s="6">
        <v>1.4169742824848719</v>
      </c>
      <c r="AC488" s="3">
        <v>52.806821811052004</v>
      </c>
      <c r="AD488" s="4">
        <v>669423.50551801769</v>
      </c>
      <c r="AE488" s="5">
        <v>1.9974398719904047E-2</v>
      </c>
      <c r="AL488" s="7">
        <v>5.798025205644608E-2</v>
      </c>
      <c r="AN488" s="7">
        <v>6.9173647424557227E-2</v>
      </c>
      <c r="AO488" s="7">
        <v>5.2187571166391944E-2</v>
      </c>
      <c r="AP488" s="7">
        <v>5.5053690509121456E-3</v>
      </c>
      <c r="AQ488" s="7">
        <v>1.6143581927446027E-2</v>
      </c>
      <c r="AR488" s="7">
        <v>-1.0469202449082227E-2</v>
      </c>
      <c r="AS488" s="7">
        <v>0.23997054698770492</v>
      </c>
      <c r="AT488" s="8">
        <v>0.34359305923187983</v>
      </c>
    </row>
    <row r="489" spans="1:46" x14ac:dyDescent="0.3">
      <c r="A489" t="str">
        <f t="shared" si="22"/>
        <v>202411 &amp; Segm SDC &gt; Les Eco-responsables</v>
      </c>
      <c r="B489">
        <v>202411</v>
      </c>
      <c r="C489" t="s">
        <v>59</v>
      </c>
      <c r="D489" t="s">
        <v>67</v>
      </c>
      <c r="E489" s="4">
        <v>0</v>
      </c>
      <c r="F489" s="4">
        <v>39397291.422567561</v>
      </c>
      <c r="H489" s="2">
        <v>750888.96396396391</v>
      </c>
      <c r="I489" s="2">
        <v>515283</v>
      </c>
      <c r="J489" s="3">
        <v>76.457580441364385</v>
      </c>
      <c r="K489" s="6">
        <v>1.4572360507991995</v>
      </c>
      <c r="L489" s="3">
        <v>52.467532902052731</v>
      </c>
      <c r="M489" s="53">
        <v>0.13358372970280041</v>
      </c>
      <c r="N489" s="53">
        <v>0.12508675403365291</v>
      </c>
      <c r="O489" s="4">
        <v>1854550.8223198208</v>
      </c>
      <c r="P489" s="5">
        <v>4.7073053891656537E-2</v>
      </c>
      <c r="V489" s="4">
        <v>0</v>
      </c>
      <c r="W489" s="4">
        <v>32891836.342792805</v>
      </c>
      <c r="Y489" s="2">
        <v>631149.09909909905</v>
      </c>
      <c r="Z489" s="2">
        <v>448614.75</v>
      </c>
      <c r="AA489" s="3">
        <v>73.31866895324508</v>
      </c>
      <c r="AB489" s="6">
        <v>1.4068844127374303</v>
      </c>
      <c r="AC489" s="3">
        <v>52.11420944709031</v>
      </c>
      <c r="AD489" s="4">
        <v>1963787.2387387394</v>
      </c>
      <c r="AE489" s="5">
        <v>5.9704396503512357E-2</v>
      </c>
      <c r="AL489" s="7">
        <v>0.19778327400076035</v>
      </c>
      <c r="AN489" s="7">
        <v>0.18971723961229014</v>
      </c>
      <c r="AO489" s="7">
        <v>0.14860913512094731</v>
      </c>
      <c r="AP489" s="7">
        <v>4.2811899519356711E-2</v>
      </c>
      <c r="AQ489" s="7">
        <v>3.578946330338395E-2</v>
      </c>
      <c r="AR489" s="7">
        <v>6.7797911301166192E-3</v>
      </c>
      <c r="AS489" s="7">
        <v>-5.5625382558793235E-2</v>
      </c>
      <c r="AT489" s="8">
        <v>-1.263134261185582</v>
      </c>
    </row>
    <row r="490" spans="1:46" x14ac:dyDescent="0.3">
      <c r="A490" t="str">
        <f t="shared" si="22"/>
        <v>202411 &amp; Segm SDC &gt; Les Eco-responsables</v>
      </c>
      <c r="B490">
        <v>202411</v>
      </c>
      <c r="C490" t="s">
        <v>59</v>
      </c>
      <c r="D490" t="s">
        <v>67</v>
      </c>
      <c r="E490" s="4">
        <v>0</v>
      </c>
      <c r="F490" s="4">
        <v>39397291.422567561</v>
      </c>
      <c r="H490" s="2">
        <v>750888.96396396391</v>
      </c>
      <c r="I490" s="2">
        <v>515283</v>
      </c>
      <c r="J490" s="3">
        <v>76.457580441364385</v>
      </c>
      <c r="K490" s="6">
        <v>1.4572360507991995</v>
      </c>
      <c r="L490" s="3">
        <v>52.467532902052731</v>
      </c>
      <c r="M490" s="53">
        <v>0.13358372970280041</v>
      </c>
      <c r="N490" s="53">
        <v>0.12508675403365291</v>
      </c>
      <c r="O490" s="4">
        <v>1854550.8223198208</v>
      </c>
      <c r="P490" s="5">
        <v>4.7073053891656537E-2</v>
      </c>
      <c r="V490" s="4">
        <v>0</v>
      </c>
      <c r="W490" s="4">
        <v>32891836.342792805</v>
      </c>
      <c r="Y490" s="2">
        <v>631149.09909909905</v>
      </c>
      <c r="Z490" s="2">
        <v>448614.75</v>
      </c>
      <c r="AA490" s="3">
        <v>73.31866895324508</v>
      </c>
      <c r="AB490" s="6">
        <v>1.4068844127374303</v>
      </c>
      <c r="AC490" s="3">
        <v>52.11420944709031</v>
      </c>
      <c r="AD490" s="4">
        <v>1963787.2387387394</v>
      </c>
      <c r="AE490" s="5">
        <v>5.9704396503512357E-2</v>
      </c>
      <c r="AL490" s="7">
        <v>0.19778327400076035</v>
      </c>
      <c r="AN490" s="7">
        <v>0.18971723961229014</v>
      </c>
      <c r="AO490" s="7">
        <v>0.14860913512094731</v>
      </c>
      <c r="AP490" s="7">
        <v>4.2811899519356711E-2</v>
      </c>
      <c r="AQ490" s="7">
        <v>3.578946330338395E-2</v>
      </c>
      <c r="AR490" s="7">
        <v>6.7797911301166192E-3</v>
      </c>
      <c r="AS490" s="7">
        <v>-5.5625382558793235E-2</v>
      </c>
      <c r="AT490" s="8">
        <v>-1.263134261185582</v>
      </c>
    </row>
    <row r="491" spans="1:46" x14ac:dyDescent="0.3">
      <c r="A491" t="str">
        <f t="shared" si="22"/>
        <v>202411 &amp; Segm SDC &gt; Les Eco-responsables</v>
      </c>
      <c r="B491">
        <v>202411</v>
      </c>
      <c r="C491" t="s">
        <v>59</v>
      </c>
      <c r="D491" t="s">
        <v>67</v>
      </c>
      <c r="E491" s="4">
        <v>0</v>
      </c>
      <c r="F491" s="4">
        <v>39397291.422567561</v>
      </c>
      <c r="H491" s="2">
        <v>750888.96396396391</v>
      </c>
      <c r="I491" s="2">
        <v>515283</v>
      </c>
      <c r="J491" s="3">
        <v>76.457580441364385</v>
      </c>
      <c r="K491" s="6">
        <v>1.4572360507991995</v>
      </c>
      <c r="L491" s="3">
        <v>52.467532902052731</v>
      </c>
      <c r="M491" s="53">
        <v>0.13358372970280041</v>
      </c>
      <c r="N491" s="53">
        <v>0.12508675403365291</v>
      </c>
      <c r="O491" s="4">
        <v>1854550.8223198208</v>
      </c>
      <c r="P491" s="5">
        <v>4.7073053891656537E-2</v>
      </c>
      <c r="V491" s="4">
        <v>0</v>
      </c>
      <c r="W491" s="4">
        <v>32891836.342792805</v>
      </c>
      <c r="Y491" s="2">
        <v>631149.09909909905</v>
      </c>
      <c r="Z491" s="2">
        <v>448614.75</v>
      </c>
      <c r="AA491" s="3">
        <v>73.31866895324508</v>
      </c>
      <c r="AB491" s="6">
        <v>1.4068844127374303</v>
      </c>
      <c r="AC491" s="3">
        <v>52.11420944709031</v>
      </c>
      <c r="AD491" s="4">
        <v>1963787.2387387394</v>
      </c>
      <c r="AE491" s="5">
        <v>5.9704396503512357E-2</v>
      </c>
      <c r="AL491" s="7">
        <v>0.19778327400076035</v>
      </c>
      <c r="AN491" s="7">
        <v>0.18971723961229014</v>
      </c>
      <c r="AO491" s="7">
        <v>0.14860913512094731</v>
      </c>
      <c r="AP491" s="7">
        <v>4.2811899519356711E-2</v>
      </c>
      <c r="AQ491" s="7">
        <v>3.578946330338395E-2</v>
      </c>
      <c r="AR491" s="7">
        <v>6.7797911301166192E-3</v>
      </c>
      <c r="AS491" s="7">
        <v>-5.5625382558793235E-2</v>
      </c>
      <c r="AT491" s="8">
        <v>-1.263134261185582</v>
      </c>
    </row>
    <row r="492" spans="1:46" x14ac:dyDescent="0.3">
      <c r="A492" t="str">
        <f t="shared" si="22"/>
        <v>202411 &amp; Segm SDC &gt; Les Eco-responsables</v>
      </c>
      <c r="B492">
        <v>202411</v>
      </c>
      <c r="C492" t="s">
        <v>59</v>
      </c>
      <c r="D492" t="s">
        <v>67</v>
      </c>
      <c r="E492" s="4">
        <v>0</v>
      </c>
      <c r="F492" s="4">
        <v>39397291.422567561</v>
      </c>
      <c r="H492" s="2">
        <v>750888.96396396391</v>
      </c>
      <c r="I492" s="2">
        <v>515283</v>
      </c>
      <c r="J492" s="3">
        <v>76.457580441364385</v>
      </c>
      <c r="K492" s="6">
        <v>1.4572360507991995</v>
      </c>
      <c r="L492" s="3">
        <v>52.467532902052731</v>
      </c>
      <c r="M492" s="53">
        <v>0.13358372970280041</v>
      </c>
      <c r="N492" s="53">
        <v>0.12508675403365291</v>
      </c>
      <c r="O492" s="4">
        <v>1854550.8223198208</v>
      </c>
      <c r="P492" s="5">
        <v>4.7073053891656537E-2</v>
      </c>
      <c r="V492" s="4">
        <v>0</v>
      </c>
      <c r="W492" s="4">
        <v>32891836.342792805</v>
      </c>
      <c r="Y492" s="2">
        <v>631149.09909909905</v>
      </c>
      <c r="Z492" s="2">
        <v>448614.75</v>
      </c>
      <c r="AA492" s="3">
        <v>73.31866895324508</v>
      </c>
      <c r="AB492" s="6">
        <v>1.4068844127374303</v>
      </c>
      <c r="AC492" s="3">
        <v>52.11420944709031</v>
      </c>
      <c r="AD492" s="4">
        <v>1963787.2387387394</v>
      </c>
      <c r="AE492" s="5">
        <v>5.9704396503512357E-2</v>
      </c>
      <c r="AL492" s="7">
        <v>0.19778327400076035</v>
      </c>
      <c r="AN492" s="7">
        <v>0.18971723961229014</v>
      </c>
      <c r="AO492" s="7">
        <v>0.14860913512094731</v>
      </c>
      <c r="AP492" s="7">
        <v>4.2811899519356711E-2</v>
      </c>
      <c r="AQ492" s="7">
        <v>3.578946330338395E-2</v>
      </c>
      <c r="AR492" s="7">
        <v>6.7797911301166192E-3</v>
      </c>
      <c r="AS492" s="7">
        <v>-5.5625382558793235E-2</v>
      </c>
      <c r="AT492" s="8">
        <v>-1.263134261185582</v>
      </c>
    </row>
    <row r="493" spans="1:46" x14ac:dyDescent="0.3">
      <c r="A493" t="str">
        <f t="shared" si="22"/>
        <v>202405 &amp; Segm SDC &gt; Les Eco-responsables</v>
      </c>
      <c r="B493">
        <v>202405</v>
      </c>
      <c r="C493" t="s">
        <v>59</v>
      </c>
      <c r="D493" t="s">
        <v>67</v>
      </c>
      <c r="E493" s="4">
        <v>0</v>
      </c>
      <c r="F493" s="4">
        <v>11367405.991576578</v>
      </c>
      <c r="H493" s="2">
        <v>239707.20720720719</v>
      </c>
      <c r="I493" s="2">
        <v>176306.25</v>
      </c>
      <c r="J493" s="3">
        <v>64.475343282365642</v>
      </c>
      <c r="K493" s="6">
        <v>1.359606974836157</v>
      </c>
      <c r="L493" s="3">
        <v>47.422045102508704</v>
      </c>
      <c r="M493" s="53">
        <v>3.9911422734154815E-2</v>
      </c>
      <c r="N493" s="53">
        <v>4.3533076526916986E-2</v>
      </c>
      <c r="O493" s="4">
        <v>233834.91653153146</v>
      </c>
      <c r="P493" s="5">
        <v>2.0570648809834603E-2</v>
      </c>
      <c r="V493" s="4">
        <v>0</v>
      </c>
      <c r="W493" s="4">
        <v>33514075.437522531</v>
      </c>
      <c r="Y493" s="2">
        <v>634654.27927927917</v>
      </c>
      <c r="Z493" s="2">
        <v>447894</v>
      </c>
      <c r="AA493" s="3">
        <v>74.825908446021899</v>
      </c>
      <c r="AB493" s="6">
        <v>1.4169742824848719</v>
      </c>
      <c r="AC493" s="3">
        <v>52.806821811052004</v>
      </c>
      <c r="AD493" s="4">
        <v>669423.50551801769</v>
      </c>
      <c r="AE493" s="5">
        <v>1.9974398719904047E-2</v>
      </c>
      <c r="AL493" s="7">
        <v>-0.66081695994365486</v>
      </c>
      <c r="AN493" s="7">
        <v>-0.6223027008036226</v>
      </c>
      <c r="AO493" s="7">
        <v>-0.60636612680678903</v>
      </c>
      <c r="AP493" s="7">
        <v>-0.13832862679005054</v>
      </c>
      <c r="AQ493" s="7">
        <v>-4.0485778999540423E-2</v>
      </c>
      <c r="AR493" s="7">
        <v>-0.1019712325769303</v>
      </c>
      <c r="AS493" s="7">
        <v>-0.65069210357263474</v>
      </c>
      <c r="AT493" s="8">
        <v>5.9625008993055562E-2</v>
      </c>
    </row>
    <row r="494" spans="1:46" x14ac:dyDescent="0.3">
      <c r="A494" t="str">
        <f t="shared" si="22"/>
        <v>202405 &amp; Segm SDC &gt; Les Eco-responsables</v>
      </c>
      <c r="B494">
        <v>202405</v>
      </c>
      <c r="C494" t="s">
        <v>59</v>
      </c>
      <c r="D494" t="s">
        <v>67</v>
      </c>
      <c r="E494" s="4">
        <v>0</v>
      </c>
      <c r="F494" s="4">
        <v>11367405.991576578</v>
      </c>
      <c r="H494" s="2">
        <v>239707.20720720719</v>
      </c>
      <c r="I494" s="2">
        <v>176306.25</v>
      </c>
      <c r="J494" s="3">
        <v>64.475343282365642</v>
      </c>
      <c r="K494" s="6">
        <v>1.359606974836157</v>
      </c>
      <c r="L494" s="3">
        <v>47.422045102508704</v>
      </c>
      <c r="M494" s="53">
        <v>3.9911422734154815E-2</v>
      </c>
      <c r="N494" s="53">
        <v>4.3533076526916986E-2</v>
      </c>
      <c r="O494" s="4">
        <v>233834.91653153146</v>
      </c>
      <c r="P494" s="5">
        <v>2.0570648809834603E-2</v>
      </c>
      <c r="V494" s="4">
        <v>0</v>
      </c>
      <c r="W494" s="4">
        <v>33514075.437522531</v>
      </c>
      <c r="Y494" s="2">
        <v>634654.27927927917</v>
      </c>
      <c r="Z494" s="2">
        <v>447894</v>
      </c>
      <c r="AA494" s="3">
        <v>74.825908446021899</v>
      </c>
      <c r="AB494" s="6">
        <v>1.4169742824848719</v>
      </c>
      <c r="AC494" s="3">
        <v>52.806821811052004</v>
      </c>
      <c r="AD494" s="4">
        <v>669423.50551801769</v>
      </c>
      <c r="AE494" s="5">
        <v>1.9974398719904047E-2</v>
      </c>
      <c r="AL494" s="7">
        <v>-0.66081695994365486</v>
      </c>
      <c r="AN494" s="7">
        <v>-0.6223027008036226</v>
      </c>
      <c r="AO494" s="7">
        <v>-0.60636612680678903</v>
      </c>
      <c r="AP494" s="7">
        <v>-0.13832862679005054</v>
      </c>
      <c r="AQ494" s="7">
        <v>-4.0485778999540423E-2</v>
      </c>
      <c r="AR494" s="7">
        <v>-0.1019712325769303</v>
      </c>
      <c r="AS494" s="7">
        <v>-0.65069210357263474</v>
      </c>
      <c r="AT494" s="8">
        <v>5.9625008993055562E-2</v>
      </c>
    </row>
    <row r="495" spans="1:46" x14ac:dyDescent="0.3">
      <c r="A495" t="str">
        <f t="shared" si="22"/>
        <v>202405 &amp; Segm SDC &gt; Les Eco-responsables</v>
      </c>
      <c r="B495">
        <v>202405</v>
      </c>
      <c r="C495" t="s">
        <v>59</v>
      </c>
      <c r="D495" t="s">
        <v>67</v>
      </c>
      <c r="E495" s="4">
        <v>0</v>
      </c>
      <c r="F495" s="4">
        <v>11367405.991576578</v>
      </c>
      <c r="H495" s="2">
        <v>239707.20720720719</v>
      </c>
      <c r="I495" s="2">
        <v>176306.25</v>
      </c>
      <c r="J495" s="3">
        <v>64.475343282365642</v>
      </c>
      <c r="K495" s="6">
        <v>1.359606974836157</v>
      </c>
      <c r="L495" s="3">
        <v>47.422045102508704</v>
      </c>
      <c r="M495" s="53">
        <v>3.9911422734154815E-2</v>
      </c>
      <c r="N495" s="53">
        <v>4.3533076526916986E-2</v>
      </c>
      <c r="O495" s="4">
        <v>233834.91653153146</v>
      </c>
      <c r="P495" s="5">
        <v>2.0570648809834603E-2</v>
      </c>
      <c r="V495" s="4">
        <v>0</v>
      </c>
      <c r="W495" s="4">
        <v>33514075.437522531</v>
      </c>
      <c r="Y495" s="2">
        <v>634654.27927927917</v>
      </c>
      <c r="Z495" s="2">
        <v>447894</v>
      </c>
      <c r="AA495" s="3">
        <v>74.825908446021899</v>
      </c>
      <c r="AB495" s="6">
        <v>1.4169742824848719</v>
      </c>
      <c r="AC495" s="3">
        <v>52.806821811052004</v>
      </c>
      <c r="AD495" s="4">
        <v>669423.50551801769</v>
      </c>
      <c r="AE495" s="5">
        <v>1.9974398719904047E-2</v>
      </c>
      <c r="AL495" s="7">
        <v>-0.66081695994365486</v>
      </c>
      <c r="AN495" s="7">
        <v>-0.6223027008036226</v>
      </c>
      <c r="AO495" s="7">
        <v>-0.60636612680678903</v>
      </c>
      <c r="AP495" s="7">
        <v>-0.13832862679005054</v>
      </c>
      <c r="AQ495" s="7">
        <v>-4.0485778999540423E-2</v>
      </c>
      <c r="AR495" s="7">
        <v>-0.1019712325769303</v>
      </c>
      <c r="AS495" s="7">
        <v>-0.65069210357263474</v>
      </c>
      <c r="AT495" s="8">
        <v>5.9625008993055562E-2</v>
      </c>
    </row>
    <row r="496" spans="1:46" x14ac:dyDescent="0.3">
      <c r="A496" t="str">
        <f t="shared" si="22"/>
        <v>202405 &amp; Segm SDC &gt; Les Eco-responsables</v>
      </c>
      <c r="B496">
        <v>202405</v>
      </c>
      <c r="C496" t="s">
        <v>59</v>
      </c>
      <c r="D496" t="s">
        <v>67</v>
      </c>
      <c r="E496" s="4">
        <v>0</v>
      </c>
      <c r="F496" s="4">
        <v>11367405.991576578</v>
      </c>
      <c r="H496" s="2">
        <v>239707.20720720719</v>
      </c>
      <c r="I496" s="2">
        <v>176306.25</v>
      </c>
      <c r="J496" s="3">
        <v>64.475343282365642</v>
      </c>
      <c r="K496" s="6">
        <v>1.359606974836157</v>
      </c>
      <c r="L496" s="3">
        <v>47.422045102508704</v>
      </c>
      <c r="M496" s="53">
        <v>3.9911422734154815E-2</v>
      </c>
      <c r="N496" s="53">
        <v>4.3533076526916986E-2</v>
      </c>
      <c r="O496" s="4">
        <v>233834.91653153146</v>
      </c>
      <c r="P496" s="5">
        <v>2.0570648809834603E-2</v>
      </c>
      <c r="V496" s="4">
        <v>0</v>
      </c>
      <c r="W496" s="4">
        <v>33514075.437522531</v>
      </c>
      <c r="Y496" s="2">
        <v>634654.27927927917</v>
      </c>
      <c r="Z496" s="2">
        <v>447894</v>
      </c>
      <c r="AA496" s="3">
        <v>74.825908446021899</v>
      </c>
      <c r="AB496" s="6">
        <v>1.4169742824848719</v>
      </c>
      <c r="AC496" s="3">
        <v>52.806821811052004</v>
      </c>
      <c r="AD496" s="4">
        <v>669423.50551801769</v>
      </c>
      <c r="AE496" s="5">
        <v>1.9974398719904047E-2</v>
      </c>
      <c r="AL496" s="7">
        <v>-0.66081695994365486</v>
      </c>
      <c r="AN496" s="7">
        <v>-0.6223027008036226</v>
      </c>
      <c r="AO496" s="7">
        <v>-0.60636612680678903</v>
      </c>
      <c r="AP496" s="7">
        <v>-0.13832862679005054</v>
      </c>
      <c r="AQ496" s="7">
        <v>-4.0485778999540423E-2</v>
      </c>
      <c r="AR496" s="7">
        <v>-0.1019712325769303</v>
      </c>
      <c r="AS496" s="7">
        <v>-0.65069210357263474</v>
      </c>
      <c r="AT496" s="8">
        <v>5.9625008993055562E-2</v>
      </c>
    </row>
    <row r="497" spans="1:46" x14ac:dyDescent="0.3">
      <c r="A497" t="str">
        <f t="shared" si="22"/>
        <v>202312 &amp; Segm SDC &gt; Les Eco-responsables</v>
      </c>
      <c r="B497">
        <v>202312</v>
      </c>
      <c r="C497" t="s">
        <v>59</v>
      </c>
      <c r="D497" t="s">
        <v>67</v>
      </c>
      <c r="E497" s="4">
        <v>0</v>
      </c>
      <c r="F497" s="4">
        <v>40120704.161666669</v>
      </c>
      <c r="H497" s="2">
        <v>729314.18918918911</v>
      </c>
      <c r="I497" s="2">
        <v>463236.75</v>
      </c>
      <c r="J497" s="3">
        <v>86.609501861988861</v>
      </c>
      <c r="K497" s="6">
        <v>1.5743875873172608</v>
      </c>
      <c r="L497" s="3">
        <v>55.011550243209491</v>
      </c>
      <c r="M497" s="53">
        <v>0.11787032145766588</v>
      </c>
      <c r="N497" s="53">
        <v>0.11289607366323082</v>
      </c>
      <c r="O497" s="4">
        <v>1484406.4127477473</v>
      </c>
      <c r="P497" s="5">
        <v>3.6998513454956347E-2</v>
      </c>
      <c r="V497" s="4">
        <v>0</v>
      </c>
      <c r="W497" s="4">
        <v>9767792.9288738724</v>
      </c>
      <c r="Y497" s="2">
        <v>200295.27027027027</v>
      </c>
      <c r="Z497" s="2">
        <v>136454.25</v>
      </c>
      <c r="AA497" s="3">
        <v>71.582914631635674</v>
      </c>
      <c r="AB497" s="6">
        <v>1.4678565912770782</v>
      </c>
      <c r="AC497" s="3">
        <v>48.76696746604955</v>
      </c>
      <c r="AD497" s="4">
        <v>291388.40351351339</v>
      </c>
      <c r="AE497" s="5">
        <v>2.9831550037487078E-2</v>
      </c>
      <c r="AL497" s="7">
        <v>3.1074482694108649</v>
      </c>
      <c r="AN497" s="7">
        <v>2.6411952623997674</v>
      </c>
      <c r="AO497" s="7">
        <v>2.3948136463320124</v>
      </c>
      <c r="AP497" s="7">
        <v>0.20991862803686767</v>
      </c>
      <c r="AQ497" s="7">
        <v>7.2575888321281701E-2</v>
      </c>
      <c r="AR497" s="7">
        <v>0.12804943800344515</v>
      </c>
      <c r="AS497" s="7">
        <v>4.0942535627671495</v>
      </c>
      <c r="AT497" s="8">
        <v>0.71669634174692698</v>
      </c>
    </row>
    <row r="498" spans="1:46" x14ac:dyDescent="0.3">
      <c r="A498" t="str">
        <f t="shared" si="22"/>
        <v>202312 &amp; Segm SDC &gt; Les Eco-responsables</v>
      </c>
      <c r="B498">
        <v>202312</v>
      </c>
      <c r="C498" t="s">
        <v>59</v>
      </c>
      <c r="D498" t="s">
        <v>67</v>
      </c>
      <c r="E498" s="4">
        <v>0</v>
      </c>
      <c r="F498" s="4">
        <v>40120704.161666669</v>
      </c>
      <c r="H498" s="2">
        <v>729314.18918918911</v>
      </c>
      <c r="I498" s="2">
        <v>463236.75</v>
      </c>
      <c r="J498" s="3">
        <v>86.609501861988861</v>
      </c>
      <c r="K498" s="6">
        <v>1.5743875873172608</v>
      </c>
      <c r="L498" s="3">
        <v>55.011550243209491</v>
      </c>
      <c r="M498" s="53">
        <v>0.11787032145766588</v>
      </c>
      <c r="N498" s="53">
        <v>0.11289607366323082</v>
      </c>
      <c r="O498" s="4">
        <v>1484406.4127477473</v>
      </c>
      <c r="P498" s="5">
        <v>3.6998513454956347E-2</v>
      </c>
      <c r="V498" s="4">
        <v>0</v>
      </c>
      <c r="W498" s="4">
        <v>9767792.9288738724</v>
      </c>
      <c r="Y498" s="2">
        <v>200295.27027027027</v>
      </c>
      <c r="Z498" s="2">
        <v>136454.25</v>
      </c>
      <c r="AA498" s="3">
        <v>71.582914631635674</v>
      </c>
      <c r="AB498" s="6">
        <v>1.4678565912770782</v>
      </c>
      <c r="AC498" s="3">
        <v>48.76696746604955</v>
      </c>
      <c r="AD498" s="4">
        <v>291388.40351351339</v>
      </c>
      <c r="AE498" s="5">
        <v>2.9831550037487078E-2</v>
      </c>
      <c r="AL498" s="7">
        <v>3.1074482694108649</v>
      </c>
      <c r="AN498" s="7">
        <v>2.6411952623997674</v>
      </c>
      <c r="AO498" s="7">
        <v>2.3948136463320124</v>
      </c>
      <c r="AP498" s="7">
        <v>0.20991862803686767</v>
      </c>
      <c r="AQ498" s="7">
        <v>7.2575888321281701E-2</v>
      </c>
      <c r="AR498" s="7">
        <v>0.12804943800344515</v>
      </c>
      <c r="AS498" s="7">
        <v>4.0942535627671495</v>
      </c>
      <c r="AT498" s="8">
        <v>0.71669634174692698</v>
      </c>
    </row>
    <row r="499" spans="1:46" x14ac:dyDescent="0.3">
      <c r="A499" t="str">
        <f t="shared" si="22"/>
        <v>202312 &amp; Segm SDC &gt; Les Eco-responsables</v>
      </c>
      <c r="B499">
        <v>202312</v>
      </c>
      <c r="C499" t="s">
        <v>59</v>
      </c>
      <c r="D499" t="s">
        <v>67</v>
      </c>
      <c r="E499" s="4">
        <v>0</v>
      </c>
      <c r="F499" s="4">
        <v>40120704.161666669</v>
      </c>
      <c r="H499" s="2">
        <v>729314.18918918911</v>
      </c>
      <c r="I499" s="2">
        <v>463236.75</v>
      </c>
      <c r="J499" s="3">
        <v>86.609501861988861</v>
      </c>
      <c r="K499" s="6">
        <v>1.5743875873172608</v>
      </c>
      <c r="L499" s="3">
        <v>55.011550243209491</v>
      </c>
      <c r="M499" s="53">
        <v>0.11787032145766588</v>
      </c>
      <c r="N499" s="53">
        <v>0.11289607366323082</v>
      </c>
      <c r="O499" s="4">
        <v>1484406.4127477473</v>
      </c>
      <c r="P499" s="5">
        <v>3.6998513454956347E-2</v>
      </c>
      <c r="V499" s="4">
        <v>0</v>
      </c>
      <c r="W499" s="4">
        <v>9767792.9288738724</v>
      </c>
      <c r="Y499" s="2">
        <v>200295.27027027027</v>
      </c>
      <c r="Z499" s="2">
        <v>136454.25</v>
      </c>
      <c r="AA499" s="3">
        <v>71.582914631635674</v>
      </c>
      <c r="AB499" s="6">
        <v>1.4678565912770782</v>
      </c>
      <c r="AC499" s="3">
        <v>48.76696746604955</v>
      </c>
      <c r="AD499" s="4">
        <v>291388.40351351339</v>
      </c>
      <c r="AE499" s="5">
        <v>2.9831550037487078E-2</v>
      </c>
      <c r="AL499" s="7">
        <v>3.1074482694108649</v>
      </c>
      <c r="AN499" s="7">
        <v>2.6411952623997674</v>
      </c>
      <c r="AO499" s="7">
        <v>2.3948136463320124</v>
      </c>
      <c r="AP499" s="7">
        <v>0.20991862803686767</v>
      </c>
      <c r="AQ499" s="7">
        <v>7.2575888321281701E-2</v>
      </c>
      <c r="AR499" s="7">
        <v>0.12804943800344515</v>
      </c>
      <c r="AS499" s="7">
        <v>4.0942535627671495</v>
      </c>
      <c r="AT499" s="8">
        <v>0.71669634174692698</v>
      </c>
    </row>
    <row r="500" spans="1:46" x14ac:dyDescent="0.3">
      <c r="A500" t="str">
        <f t="shared" si="22"/>
        <v>202312 &amp; Segm SDC &gt; Les Eco-responsables</v>
      </c>
      <c r="B500">
        <v>202312</v>
      </c>
      <c r="C500" t="s">
        <v>59</v>
      </c>
      <c r="D500" t="s">
        <v>67</v>
      </c>
      <c r="E500" s="4">
        <v>0</v>
      </c>
      <c r="F500" s="4">
        <v>40120704.161666669</v>
      </c>
      <c r="H500" s="2">
        <v>729314.18918918911</v>
      </c>
      <c r="I500" s="2">
        <v>463236.75</v>
      </c>
      <c r="J500" s="3">
        <v>86.609501861988861</v>
      </c>
      <c r="K500" s="6">
        <v>1.5743875873172608</v>
      </c>
      <c r="L500" s="3">
        <v>55.011550243209491</v>
      </c>
      <c r="M500" s="53">
        <v>0.11787032145766588</v>
      </c>
      <c r="N500" s="53">
        <v>0.11289607366323082</v>
      </c>
      <c r="O500" s="4">
        <v>1484406.4127477473</v>
      </c>
      <c r="P500" s="5">
        <v>3.6998513454956347E-2</v>
      </c>
      <c r="V500" s="4">
        <v>0</v>
      </c>
      <c r="W500" s="4">
        <v>9767792.9288738724</v>
      </c>
      <c r="Y500" s="2">
        <v>200295.27027027027</v>
      </c>
      <c r="Z500" s="2">
        <v>136454.25</v>
      </c>
      <c r="AA500" s="3">
        <v>71.582914631635674</v>
      </c>
      <c r="AB500" s="6">
        <v>1.4678565912770782</v>
      </c>
      <c r="AC500" s="3">
        <v>48.76696746604955</v>
      </c>
      <c r="AD500" s="4">
        <v>291388.40351351339</v>
      </c>
      <c r="AE500" s="5">
        <v>2.9831550037487078E-2</v>
      </c>
      <c r="AL500" s="7">
        <v>3.1074482694108649</v>
      </c>
      <c r="AN500" s="7">
        <v>2.6411952623997674</v>
      </c>
      <c r="AO500" s="7">
        <v>2.3948136463320124</v>
      </c>
      <c r="AP500" s="7">
        <v>0.20991862803686767</v>
      </c>
      <c r="AQ500" s="7">
        <v>7.2575888321281701E-2</v>
      </c>
      <c r="AR500" s="7">
        <v>0.12804943800344515</v>
      </c>
      <c r="AS500" s="7">
        <v>4.0942535627671495</v>
      </c>
      <c r="AT500" s="8">
        <v>0.71669634174692698</v>
      </c>
    </row>
    <row r="501" spans="1:46" x14ac:dyDescent="0.3">
      <c r="A501" t="str">
        <f t="shared" si="22"/>
        <v>202402 &amp; Segm SDC &gt; Les Eco-responsables</v>
      </c>
      <c r="B501">
        <v>202402</v>
      </c>
      <c r="C501" t="s">
        <v>59</v>
      </c>
      <c r="D501" t="s">
        <v>67</v>
      </c>
      <c r="E501" s="4">
        <v>0</v>
      </c>
      <c r="F501" s="4">
        <v>31226392.422342323</v>
      </c>
      <c r="H501" s="2">
        <v>627799.54954954947</v>
      </c>
      <c r="I501" s="2">
        <v>454131</v>
      </c>
      <c r="J501" s="3">
        <v>68.760759389564512</v>
      </c>
      <c r="K501" s="6">
        <v>1.3824194991082959</v>
      </c>
      <c r="L501" s="3">
        <v>49.739431072780278</v>
      </c>
      <c r="M501" s="53">
        <v>0.12078835528086415</v>
      </c>
      <c r="N501" s="53">
        <v>0.11469950925170498</v>
      </c>
      <c r="O501" s="4">
        <v>886786.16063063068</v>
      </c>
      <c r="P501" s="5">
        <v>2.8398610657186893E-2</v>
      </c>
      <c r="V501" s="4">
        <v>0</v>
      </c>
      <c r="W501" s="4">
        <v>7074264.7065765774</v>
      </c>
      <c r="Y501" s="2">
        <v>159566.44144144142</v>
      </c>
      <c r="Z501" s="2">
        <v>126238.5</v>
      </c>
      <c r="AA501" s="3">
        <v>56.038884386114994</v>
      </c>
      <c r="AB501" s="6">
        <v>1.2640077428157133</v>
      </c>
      <c r="AC501" s="3">
        <v>44.334288855922942</v>
      </c>
      <c r="AD501" s="4">
        <v>162608.34333333335</v>
      </c>
      <c r="AE501" s="5">
        <v>2.2985900313026851E-2</v>
      </c>
      <c r="AL501" s="7">
        <v>3.4140831192410372</v>
      </c>
      <c r="AN501" s="7">
        <v>2.9344084124351602</v>
      </c>
      <c r="AO501" s="7">
        <v>2.5974049121306098</v>
      </c>
      <c r="AP501" s="7">
        <v>0.22701870572215888</v>
      </c>
      <c r="AQ501" s="7">
        <v>9.3679613092248593E-2</v>
      </c>
      <c r="AR501" s="7">
        <v>0.12191787341898963</v>
      </c>
      <c r="AS501" s="7">
        <v>4.453509595216735</v>
      </c>
      <c r="AT501" s="8">
        <v>0.54127103441600422</v>
      </c>
    </row>
    <row r="502" spans="1:46" x14ac:dyDescent="0.3">
      <c r="A502" t="str">
        <f t="shared" si="22"/>
        <v>202402 &amp; Segm SDC &gt; Les Eco-responsables</v>
      </c>
      <c r="B502">
        <v>202402</v>
      </c>
      <c r="C502" t="s">
        <v>59</v>
      </c>
      <c r="D502" t="s">
        <v>67</v>
      </c>
      <c r="E502" s="4">
        <v>0</v>
      </c>
      <c r="F502" s="4">
        <v>31226392.422342323</v>
      </c>
      <c r="H502" s="2">
        <v>627799.54954954947</v>
      </c>
      <c r="I502" s="2">
        <v>454131</v>
      </c>
      <c r="J502" s="3">
        <v>68.760759389564512</v>
      </c>
      <c r="K502" s="6">
        <v>1.3824194991082959</v>
      </c>
      <c r="L502" s="3">
        <v>49.739431072780278</v>
      </c>
      <c r="M502" s="53">
        <v>0.12078835528086415</v>
      </c>
      <c r="N502" s="53">
        <v>0.11469950925170498</v>
      </c>
      <c r="O502" s="4">
        <v>886786.16063063068</v>
      </c>
      <c r="P502" s="5">
        <v>2.8398610657186893E-2</v>
      </c>
      <c r="V502" s="4">
        <v>0</v>
      </c>
      <c r="W502" s="4">
        <v>7074264.7065765774</v>
      </c>
      <c r="Y502" s="2">
        <v>159566.44144144142</v>
      </c>
      <c r="Z502" s="2">
        <v>126238.5</v>
      </c>
      <c r="AA502" s="3">
        <v>56.038884386114994</v>
      </c>
      <c r="AB502" s="6">
        <v>1.2640077428157133</v>
      </c>
      <c r="AC502" s="3">
        <v>44.334288855922942</v>
      </c>
      <c r="AD502" s="4">
        <v>162608.34333333335</v>
      </c>
      <c r="AE502" s="5">
        <v>2.2985900313026851E-2</v>
      </c>
      <c r="AL502" s="7">
        <v>3.4140831192410372</v>
      </c>
      <c r="AN502" s="7">
        <v>2.9344084124351602</v>
      </c>
      <c r="AO502" s="7">
        <v>2.5974049121306098</v>
      </c>
      <c r="AP502" s="7">
        <v>0.22701870572215888</v>
      </c>
      <c r="AQ502" s="7">
        <v>9.3679613092248593E-2</v>
      </c>
      <c r="AR502" s="7">
        <v>0.12191787341898963</v>
      </c>
      <c r="AS502" s="7">
        <v>4.453509595216735</v>
      </c>
      <c r="AT502" s="8">
        <v>0.54127103441600422</v>
      </c>
    </row>
    <row r="503" spans="1:46" x14ac:dyDescent="0.3">
      <c r="A503" t="str">
        <f t="shared" si="22"/>
        <v>202402 &amp; Segm SDC &gt; Les Eco-responsables</v>
      </c>
      <c r="B503">
        <v>202402</v>
      </c>
      <c r="C503" t="s">
        <v>59</v>
      </c>
      <c r="D503" t="s">
        <v>67</v>
      </c>
      <c r="E503" s="4">
        <v>0</v>
      </c>
      <c r="F503" s="4">
        <v>31226392.422342323</v>
      </c>
      <c r="H503" s="2">
        <v>627799.54954954947</v>
      </c>
      <c r="I503" s="2">
        <v>454131</v>
      </c>
      <c r="J503" s="3">
        <v>68.760759389564512</v>
      </c>
      <c r="K503" s="6">
        <v>1.3824194991082959</v>
      </c>
      <c r="L503" s="3">
        <v>49.739431072780278</v>
      </c>
      <c r="M503" s="53">
        <v>0.12078835528086415</v>
      </c>
      <c r="N503" s="53">
        <v>0.11469950925170498</v>
      </c>
      <c r="O503" s="4">
        <v>886786.16063063068</v>
      </c>
      <c r="P503" s="5">
        <v>2.8398610657186893E-2</v>
      </c>
      <c r="V503" s="4">
        <v>0</v>
      </c>
      <c r="W503" s="4">
        <v>7074264.7065765774</v>
      </c>
      <c r="Y503" s="2">
        <v>159566.44144144142</v>
      </c>
      <c r="Z503" s="2">
        <v>126238.5</v>
      </c>
      <c r="AA503" s="3">
        <v>56.038884386114994</v>
      </c>
      <c r="AB503" s="6">
        <v>1.2640077428157133</v>
      </c>
      <c r="AC503" s="3">
        <v>44.334288855922942</v>
      </c>
      <c r="AD503" s="4">
        <v>162608.34333333335</v>
      </c>
      <c r="AE503" s="5">
        <v>2.2985900313026851E-2</v>
      </c>
      <c r="AL503" s="7">
        <v>3.4140831192410372</v>
      </c>
      <c r="AN503" s="7">
        <v>2.9344084124351602</v>
      </c>
      <c r="AO503" s="7">
        <v>2.5974049121306098</v>
      </c>
      <c r="AP503" s="7">
        <v>0.22701870572215888</v>
      </c>
      <c r="AQ503" s="7">
        <v>9.3679613092248593E-2</v>
      </c>
      <c r="AR503" s="7">
        <v>0.12191787341898963</v>
      </c>
      <c r="AS503" s="7">
        <v>4.453509595216735</v>
      </c>
      <c r="AT503" s="8">
        <v>0.54127103441600422</v>
      </c>
    </row>
    <row r="504" spans="1:46" x14ac:dyDescent="0.3">
      <c r="A504" t="str">
        <f t="shared" si="22"/>
        <v>202402 &amp; Segm SDC &gt; Les Eco-responsables</v>
      </c>
      <c r="B504">
        <v>202402</v>
      </c>
      <c r="C504" t="s">
        <v>59</v>
      </c>
      <c r="D504" t="s">
        <v>67</v>
      </c>
      <c r="E504" s="4">
        <v>0</v>
      </c>
      <c r="F504" s="4">
        <v>31226392.422342323</v>
      </c>
      <c r="H504" s="2">
        <v>627799.54954954947</v>
      </c>
      <c r="I504" s="2">
        <v>454131</v>
      </c>
      <c r="J504" s="3">
        <v>68.760759389564512</v>
      </c>
      <c r="K504" s="6">
        <v>1.3824194991082959</v>
      </c>
      <c r="L504" s="3">
        <v>49.739431072780278</v>
      </c>
      <c r="M504" s="53">
        <v>0.12078835528086415</v>
      </c>
      <c r="N504" s="53">
        <v>0.11469950925170498</v>
      </c>
      <c r="O504" s="4">
        <v>886786.16063063068</v>
      </c>
      <c r="P504" s="5">
        <v>2.8398610657186893E-2</v>
      </c>
      <c r="V504" s="4">
        <v>0</v>
      </c>
      <c r="W504" s="4">
        <v>7074264.7065765774</v>
      </c>
      <c r="Y504" s="2">
        <v>159566.44144144142</v>
      </c>
      <c r="Z504" s="2">
        <v>126238.5</v>
      </c>
      <c r="AA504" s="3">
        <v>56.038884386114994</v>
      </c>
      <c r="AB504" s="6">
        <v>1.2640077428157133</v>
      </c>
      <c r="AC504" s="3">
        <v>44.334288855922942</v>
      </c>
      <c r="AD504" s="4">
        <v>162608.34333333335</v>
      </c>
      <c r="AE504" s="5">
        <v>2.2985900313026851E-2</v>
      </c>
      <c r="AL504" s="7">
        <v>3.4140831192410372</v>
      </c>
      <c r="AN504" s="7">
        <v>2.9344084124351602</v>
      </c>
      <c r="AO504" s="7">
        <v>2.5974049121306098</v>
      </c>
      <c r="AP504" s="7">
        <v>0.22701870572215888</v>
      </c>
      <c r="AQ504" s="7">
        <v>9.3679613092248593E-2</v>
      </c>
      <c r="AR504" s="7">
        <v>0.12191787341898963</v>
      </c>
      <c r="AS504" s="7">
        <v>4.453509595216735</v>
      </c>
      <c r="AT504" s="8">
        <v>0.54127103441600422</v>
      </c>
    </row>
    <row r="505" spans="1:46" x14ac:dyDescent="0.3">
      <c r="A505" t="str">
        <f t="shared" si="22"/>
        <v>202307 &amp; Segm SDC &gt; Les Exigeants du luxe</v>
      </c>
      <c r="B505">
        <v>202307</v>
      </c>
      <c r="C505" t="s">
        <v>59</v>
      </c>
      <c r="D505" t="s">
        <v>68</v>
      </c>
      <c r="E505" s="4">
        <v>0</v>
      </c>
      <c r="F505" s="4">
        <v>61069631.724954993</v>
      </c>
      <c r="H505" s="2">
        <v>1139721.6216216215</v>
      </c>
      <c r="I505" s="2">
        <v>804135.75</v>
      </c>
      <c r="J505" s="3">
        <v>75.944430682201343</v>
      </c>
      <c r="K505" s="6">
        <v>1.4173249002069881</v>
      </c>
      <c r="L505" s="3">
        <v>53.582936891259244</v>
      </c>
      <c r="M505" s="53">
        <v>0.22148537752648159</v>
      </c>
      <c r="N505" s="53">
        <v>0.20498209768348155</v>
      </c>
      <c r="O505" s="4">
        <v>687786.86340090074</v>
      </c>
      <c r="P505" s="5">
        <v>1.1262338481072732E-2</v>
      </c>
    </row>
    <row r="506" spans="1:46" x14ac:dyDescent="0.3">
      <c r="A506" t="str">
        <f t="shared" si="22"/>
        <v>202301 &amp; Segm SDC &gt; Les Exigeants du luxe</v>
      </c>
      <c r="B506">
        <v>202301</v>
      </c>
      <c r="C506" t="s">
        <v>59</v>
      </c>
      <c r="D506" t="s">
        <v>68</v>
      </c>
      <c r="E506" s="4">
        <v>0</v>
      </c>
      <c r="F506" s="4">
        <v>51504271.819459453</v>
      </c>
      <c r="H506" s="2">
        <v>1013757.2072072071</v>
      </c>
      <c r="I506" s="2">
        <v>749022.75</v>
      </c>
      <c r="J506" s="3">
        <v>68.76195925886023</v>
      </c>
      <c r="K506" s="6">
        <v>1.3534398083465518</v>
      </c>
      <c r="L506" s="3">
        <v>50.805332335291823</v>
      </c>
      <c r="M506" s="53">
        <v>0.20890056194116907</v>
      </c>
      <c r="N506" s="53">
        <v>0.19862495510191419</v>
      </c>
      <c r="O506" s="4">
        <v>1597140.419887387</v>
      </c>
      <c r="P506" s="5">
        <v>3.1009863133021755E-2</v>
      </c>
    </row>
    <row r="507" spans="1:46" x14ac:dyDescent="0.3">
      <c r="A507" t="str">
        <f t="shared" si="22"/>
        <v>202309 &amp; Segm SDC &gt; Les Exigeants du luxe</v>
      </c>
      <c r="B507">
        <v>202309</v>
      </c>
      <c r="C507" t="s">
        <v>59</v>
      </c>
      <c r="D507" t="s">
        <v>68</v>
      </c>
      <c r="E507" s="4">
        <v>0</v>
      </c>
      <c r="F507" s="4">
        <v>57275579.392207257</v>
      </c>
      <c r="H507" s="2">
        <v>1093936.2612612611</v>
      </c>
      <c r="I507" s="2">
        <v>793539</v>
      </c>
      <c r="J507" s="3">
        <v>72.177396942314445</v>
      </c>
      <c r="K507" s="6">
        <v>1.3785538722876394</v>
      </c>
      <c r="L507" s="3">
        <v>52.357327771703076</v>
      </c>
      <c r="M507" s="53">
        <v>0.21343442682715394</v>
      </c>
      <c r="N507" s="53">
        <v>0.20308926198148561</v>
      </c>
      <c r="O507" s="4">
        <v>1607446.0742058563</v>
      </c>
      <c r="P507" s="5">
        <v>2.8065121143489656E-2</v>
      </c>
    </row>
    <row r="508" spans="1:46" x14ac:dyDescent="0.3">
      <c r="A508" t="str">
        <f t="shared" si="22"/>
        <v>202304 &amp; Segm SDC &gt; Les Exigeants du luxe</v>
      </c>
      <c r="B508">
        <v>202304</v>
      </c>
      <c r="C508" t="s">
        <v>59</v>
      </c>
      <c r="D508" t="s">
        <v>68</v>
      </c>
      <c r="E508" s="4">
        <v>0</v>
      </c>
      <c r="F508" s="4">
        <v>58880283.453468405</v>
      </c>
      <c r="H508" s="2">
        <v>1079684.009009009</v>
      </c>
      <c r="I508" s="2">
        <v>784927.5</v>
      </c>
      <c r="J508" s="3">
        <v>75.013658527021164</v>
      </c>
      <c r="K508" s="6">
        <v>1.3755206805838871</v>
      </c>
      <c r="L508" s="3">
        <v>54.534736980602169</v>
      </c>
      <c r="M508" s="53">
        <v>0.2139836162791473</v>
      </c>
      <c r="N508" s="53">
        <v>0.19947965310206806</v>
      </c>
      <c r="O508" s="4">
        <v>1230229.6362162158</v>
      </c>
      <c r="P508" s="5">
        <v>2.089374513946481E-2</v>
      </c>
    </row>
    <row r="509" spans="1:46" x14ac:dyDescent="0.3">
      <c r="A509" t="str">
        <f t="shared" si="22"/>
        <v>202311 &amp; Segm SDC &gt; Les Exigeants du luxe</v>
      </c>
      <c r="B509">
        <v>202311</v>
      </c>
      <c r="C509" t="s">
        <v>59</v>
      </c>
      <c r="D509" t="s">
        <v>68</v>
      </c>
      <c r="E509" s="4">
        <v>0</v>
      </c>
      <c r="F509" s="4">
        <v>58522976.983378388</v>
      </c>
      <c r="H509" s="2">
        <v>1079682.4324324324</v>
      </c>
      <c r="I509" s="2">
        <v>795768.75</v>
      </c>
      <c r="J509" s="3">
        <v>73.542693129603776</v>
      </c>
      <c r="K509" s="6">
        <v>1.3567791301586452</v>
      </c>
      <c r="L509" s="3">
        <v>54.203879979348294</v>
      </c>
      <c r="M509" s="53">
        <v>0.21557070749904753</v>
      </c>
      <c r="N509" s="53">
        <v>0.20267335326527541</v>
      </c>
      <c r="O509" s="4">
        <v>3552906.7063738736</v>
      </c>
      <c r="P509" s="5">
        <v>6.0709603125332551E-2</v>
      </c>
    </row>
    <row r="510" spans="1:46" x14ac:dyDescent="0.3">
      <c r="A510" t="str">
        <f t="shared" si="22"/>
        <v>202212 &amp; Segm SDC &gt; Les Exigeants du luxe</v>
      </c>
      <c r="B510">
        <v>202212</v>
      </c>
      <c r="C510" t="s">
        <v>59</v>
      </c>
      <c r="D510" t="s">
        <v>68</v>
      </c>
      <c r="E510" s="4">
        <v>0</v>
      </c>
      <c r="F510" s="4">
        <v>70889730.857162148</v>
      </c>
      <c r="H510" s="2">
        <v>1232726.1261261259</v>
      </c>
      <c r="I510" s="2">
        <v>803717.25</v>
      </c>
      <c r="J510" s="3">
        <v>88.202325951274716</v>
      </c>
      <c r="K510" s="6">
        <v>1.5337808490810989</v>
      </c>
      <c r="L510" s="3">
        <v>57.506472325637311</v>
      </c>
      <c r="M510" s="53">
        <v>0.22153341704704718</v>
      </c>
      <c r="N510" s="53">
        <v>0.20432696341108117</v>
      </c>
      <c r="O510" s="4">
        <v>2311562.1818468464</v>
      </c>
      <c r="P510" s="5">
        <v>3.2607856651402478E-2</v>
      </c>
    </row>
    <row r="511" spans="1:46" x14ac:dyDescent="0.3">
      <c r="A511" t="str">
        <f t="shared" si="22"/>
        <v>202310 &amp; Segm SDC &gt; Les Exigeants du luxe</v>
      </c>
      <c r="B511">
        <v>202310</v>
      </c>
      <c r="C511" t="s">
        <v>59</v>
      </c>
      <c r="D511" t="s">
        <v>68</v>
      </c>
      <c r="E511" s="4">
        <v>0</v>
      </c>
      <c r="F511" s="4">
        <v>57355827.421666652</v>
      </c>
      <c r="H511" s="2">
        <v>1113440.3153153153</v>
      </c>
      <c r="I511" s="2">
        <v>800029.5</v>
      </c>
      <c r="J511" s="3">
        <v>71.692140629397599</v>
      </c>
      <c r="K511" s="6">
        <v>1.3917490733970626</v>
      </c>
      <c r="L511" s="3">
        <v>51.512260363434073</v>
      </c>
      <c r="M511" s="53">
        <v>0.21651777609432601</v>
      </c>
      <c r="N511" s="53">
        <v>0.20363315236740581</v>
      </c>
      <c r="O511" s="4">
        <v>1714509.777972973</v>
      </c>
      <c r="P511" s="5">
        <v>2.9892512322563101E-2</v>
      </c>
    </row>
    <row r="512" spans="1:46" x14ac:dyDescent="0.3">
      <c r="A512" t="str">
        <f t="shared" si="22"/>
        <v>202302 &amp; Segm SDC &gt; Les Exigeants du luxe</v>
      </c>
      <c r="B512">
        <v>202302</v>
      </c>
      <c r="C512" t="s">
        <v>59</v>
      </c>
      <c r="D512" t="s">
        <v>68</v>
      </c>
      <c r="E512" s="4">
        <v>0</v>
      </c>
      <c r="F512" s="4">
        <v>49048617.222477481</v>
      </c>
      <c r="H512" s="2">
        <v>959122.74774774769</v>
      </c>
      <c r="I512" s="2">
        <v>743461.5</v>
      </c>
      <c r="J512" s="3">
        <v>65.973311627404357</v>
      </c>
      <c r="K512" s="6">
        <v>1.2900772235653732</v>
      </c>
      <c r="L512" s="3">
        <v>51.139040688645437</v>
      </c>
      <c r="M512" s="53">
        <v>0.21226032491482597</v>
      </c>
      <c r="N512" s="53">
        <v>0.19783939412506318</v>
      </c>
      <c r="O512" s="4">
        <v>990415.8032207205</v>
      </c>
      <c r="P512" s="5">
        <v>2.0192532619795103E-2</v>
      </c>
    </row>
    <row r="513" spans="1:46" x14ac:dyDescent="0.3">
      <c r="A513" t="str">
        <f t="shared" si="22"/>
        <v>202303 &amp; Segm SDC &gt; Les Exigeants du luxe</v>
      </c>
      <c r="B513">
        <v>202303</v>
      </c>
      <c r="C513" t="s">
        <v>59</v>
      </c>
      <c r="D513" t="s">
        <v>68</v>
      </c>
      <c r="E513" s="4">
        <v>0</v>
      </c>
      <c r="F513" s="4">
        <v>56065049.791846827</v>
      </c>
      <c r="H513" s="2">
        <v>1078556.5315315314</v>
      </c>
      <c r="I513" s="2">
        <v>763475.25</v>
      </c>
      <c r="J513" s="3">
        <v>73.434010849528946</v>
      </c>
      <c r="K513" s="6">
        <v>1.4126935110621219</v>
      </c>
      <c r="L513" s="3">
        <v>51.98155882681035</v>
      </c>
      <c r="M513" s="53">
        <v>0.2111356844893133</v>
      </c>
      <c r="N513" s="53">
        <v>0.19733851883916989</v>
      </c>
      <c r="O513" s="4">
        <v>1327300.1948423425</v>
      </c>
      <c r="P513" s="5">
        <v>2.3674289058338856E-2</v>
      </c>
    </row>
    <row r="514" spans="1:46" x14ac:dyDescent="0.3">
      <c r="A514" t="str">
        <f t="shared" ref="A514:A577" si="23">_xlfn.CONCAT(B514," &amp; ",C514," &gt; ",D514)</f>
        <v>202308 &amp; Segm SDC &gt; Les Exigeants du luxe</v>
      </c>
      <c r="B514">
        <v>202308</v>
      </c>
      <c r="C514" t="s">
        <v>59</v>
      </c>
      <c r="D514" t="s">
        <v>68</v>
      </c>
      <c r="E514" s="4">
        <v>0</v>
      </c>
      <c r="F514" s="4">
        <v>61458028.118963964</v>
      </c>
      <c r="H514" s="2">
        <v>1159984.009009009</v>
      </c>
      <c r="I514" s="2">
        <v>805764.75</v>
      </c>
      <c r="J514" s="3">
        <v>76.272917273886662</v>
      </c>
      <c r="K514" s="6">
        <v>1.4396062982514548</v>
      </c>
      <c r="L514" s="3">
        <v>52.981789095065579</v>
      </c>
      <c r="M514" s="53">
        <v>0.222637837244093</v>
      </c>
      <c r="N514" s="53">
        <v>0.20582334664551125</v>
      </c>
      <c r="O514" s="4">
        <v>1401653.0542567568</v>
      </c>
      <c r="P514" s="5">
        <v>2.280667143344698E-2</v>
      </c>
    </row>
    <row r="515" spans="1:46" x14ac:dyDescent="0.3">
      <c r="A515" t="str">
        <f t="shared" si="23"/>
        <v>202306 &amp; Segm SDC &gt; Les Exigeants du luxe</v>
      </c>
      <c r="B515">
        <v>202306</v>
      </c>
      <c r="C515" t="s">
        <v>59</v>
      </c>
      <c r="D515" t="s">
        <v>68</v>
      </c>
      <c r="E515" s="4">
        <v>0</v>
      </c>
      <c r="F515" s="4">
        <v>59890292.670450442</v>
      </c>
      <c r="H515" s="2">
        <v>1109645.045045045</v>
      </c>
      <c r="I515" s="2">
        <v>790930.5</v>
      </c>
      <c r="J515" s="3">
        <v>75.721308851347175</v>
      </c>
      <c r="K515" s="6">
        <v>1.4029615055242464</v>
      </c>
      <c r="L515" s="3">
        <v>53.972477899920918</v>
      </c>
      <c r="M515" s="53">
        <v>0.21553039345333652</v>
      </c>
      <c r="N515" s="53">
        <v>0.20215552250324778</v>
      </c>
      <c r="O515" s="4">
        <v>1303190.9081756754</v>
      </c>
      <c r="P515" s="5">
        <v>2.1759634993713479E-2</v>
      </c>
    </row>
    <row r="516" spans="1:46" x14ac:dyDescent="0.3">
      <c r="A516" t="str">
        <f t="shared" si="23"/>
        <v>202305 &amp; Segm SDC &gt; Les Exigeants du luxe</v>
      </c>
      <c r="B516">
        <v>202305</v>
      </c>
      <c r="C516" t="s">
        <v>59</v>
      </c>
      <c r="D516" t="s">
        <v>68</v>
      </c>
      <c r="E516" s="4">
        <v>0</v>
      </c>
      <c r="F516" s="4">
        <v>57846981.829909958</v>
      </c>
      <c r="H516" s="2">
        <v>1068619.5945945946</v>
      </c>
      <c r="I516" s="2">
        <v>784198.5</v>
      </c>
      <c r="J516" s="3">
        <v>73.765738942257556</v>
      </c>
      <c r="K516" s="6">
        <v>1.3626901793290787</v>
      </c>
      <c r="L516" s="3">
        <v>54.132436016069441</v>
      </c>
      <c r="M516" s="53">
        <v>0.2154818078699049</v>
      </c>
      <c r="N516" s="53">
        <v>0.20163117930553584</v>
      </c>
      <c r="O516" s="4">
        <v>960997.84768018033</v>
      </c>
      <c r="P516" s="5">
        <v>1.6612756919727373E-2</v>
      </c>
    </row>
    <row r="517" spans="1:46" x14ac:dyDescent="0.3">
      <c r="A517" t="str">
        <f t="shared" si="23"/>
        <v>202412 &amp; Segm SDC &gt; Les Exigeants du luxe</v>
      </c>
      <c r="B517">
        <v>202412</v>
      </c>
      <c r="C517" t="s">
        <v>59</v>
      </c>
      <c r="D517" t="s">
        <v>68</v>
      </c>
      <c r="E517" s="4">
        <v>0</v>
      </c>
      <c r="F517" s="4">
        <v>71386525.745855883</v>
      </c>
      <c r="H517" s="2">
        <v>1258734.009009009</v>
      </c>
      <c r="I517" s="2">
        <v>783426</v>
      </c>
      <c r="J517" s="3">
        <v>91.120955579538958</v>
      </c>
      <c r="K517" s="6">
        <v>1.6067044098728009</v>
      </c>
      <c r="L517" s="3">
        <v>56.712955425791598</v>
      </c>
      <c r="M517" s="53">
        <v>0.2106658614555553</v>
      </c>
      <c r="N517" s="53">
        <v>0.18401455390782184</v>
      </c>
      <c r="O517" s="4">
        <v>2098700.5712898644</v>
      </c>
      <c r="P517" s="5">
        <v>2.9399113479222621E-2</v>
      </c>
      <c r="V517" s="4">
        <v>0</v>
      </c>
      <c r="W517" s="4">
        <v>75223477.144819871</v>
      </c>
      <c r="Y517" s="2">
        <v>1291450.4504504504</v>
      </c>
      <c r="Z517" s="2">
        <v>839543.25</v>
      </c>
      <c r="AA517" s="3">
        <v>89.600478766066985</v>
      </c>
      <c r="AB517" s="6">
        <v>1.5382774508048875</v>
      </c>
      <c r="AC517" s="3">
        <v>58.247280891483179</v>
      </c>
      <c r="AD517" s="4">
        <v>2819810.3326126128</v>
      </c>
      <c r="AE517" s="5">
        <v>3.748577491550846E-2</v>
      </c>
      <c r="AL517" s="7">
        <v>-5.1007365580523545E-2</v>
      </c>
      <c r="AN517" s="7">
        <v>-2.5333098478559579E-2</v>
      </c>
      <c r="AO517" s="7">
        <v>-6.6842595661390836E-2</v>
      </c>
      <c r="AP517" s="7">
        <v>1.6969516618786207E-2</v>
      </c>
      <c r="AQ517" s="7">
        <v>4.4482846077025684E-2</v>
      </c>
      <c r="AR517" s="7">
        <v>-2.6341580966673495E-2</v>
      </c>
      <c r="AS517" s="7">
        <v>-0.25572988118481899</v>
      </c>
      <c r="AT517" s="8">
        <v>-0.80866614362858391</v>
      </c>
    </row>
    <row r="518" spans="1:46" x14ac:dyDescent="0.3">
      <c r="A518" t="str">
        <f t="shared" si="23"/>
        <v>202312 &amp; Segm SDC &gt; Les Exigeants du luxe</v>
      </c>
      <c r="B518">
        <v>202312</v>
      </c>
      <c r="C518" t="s">
        <v>59</v>
      </c>
      <c r="D518" t="s">
        <v>68</v>
      </c>
      <c r="E518" s="4">
        <v>0</v>
      </c>
      <c r="F518" s="4">
        <v>75223477.144819871</v>
      </c>
      <c r="H518" s="2">
        <v>1291450.4504504504</v>
      </c>
      <c r="I518" s="2">
        <v>839543.25</v>
      </c>
      <c r="J518" s="3">
        <v>89.600478766066985</v>
      </c>
      <c r="K518" s="6">
        <v>1.5382774508048875</v>
      </c>
      <c r="L518" s="3">
        <v>58.247280891483179</v>
      </c>
      <c r="M518" s="53">
        <v>0.22099849983926526</v>
      </c>
      <c r="N518" s="53">
        <v>0.20460625499912996</v>
      </c>
      <c r="O518" s="4">
        <v>2819810.3326126128</v>
      </c>
      <c r="P518" s="5">
        <v>3.748577491550846E-2</v>
      </c>
      <c r="V518" s="4">
        <v>0</v>
      </c>
      <c r="W518" s="4">
        <v>70889730.857162148</v>
      </c>
      <c r="Y518" s="2">
        <v>1232726.1261261259</v>
      </c>
      <c r="Z518" s="2">
        <v>803717.25</v>
      </c>
      <c r="AA518" s="3">
        <v>88.202325951274716</v>
      </c>
      <c r="AB518" s="6">
        <v>1.5337808490810989</v>
      </c>
      <c r="AC518" s="3">
        <v>57.506472325637311</v>
      </c>
      <c r="AD518" s="4">
        <v>2311562.1818468464</v>
      </c>
      <c r="AE518" s="5">
        <v>3.2607856651402478E-2</v>
      </c>
      <c r="AL518" s="7">
        <v>6.1133625918116774E-2</v>
      </c>
      <c r="AN518" s="7">
        <v>4.763777053129159E-2</v>
      </c>
      <c r="AO518" s="7">
        <v>4.4575377721456144E-2</v>
      </c>
      <c r="AP518" s="7">
        <v>1.5851654700859585E-2</v>
      </c>
      <c r="AQ518" s="7">
        <v>2.9317106980977226E-3</v>
      </c>
      <c r="AR518" s="7">
        <v>1.2882177186090527E-2</v>
      </c>
      <c r="AS518" s="7">
        <v>0.21987215172368679</v>
      </c>
      <c r="AT518" s="8">
        <v>0.48779182641059821</v>
      </c>
    </row>
    <row r="519" spans="1:46" x14ac:dyDescent="0.3">
      <c r="A519" t="str">
        <f t="shared" si="23"/>
        <v>202411 &amp; Segm SDC &gt; Les Exigeants du luxe</v>
      </c>
      <c r="B519">
        <v>202411</v>
      </c>
      <c r="C519" t="s">
        <v>59</v>
      </c>
      <c r="D519" t="s">
        <v>68</v>
      </c>
      <c r="E519" s="4">
        <v>0</v>
      </c>
      <c r="F519" s="4">
        <v>61385588.048873857</v>
      </c>
      <c r="H519" s="2">
        <v>1122097.9729729728</v>
      </c>
      <c r="I519" s="2">
        <v>766245.75</v>
      </c>
      <c r="J519" s="3">
        <v>80.112141631942308</v>
      </c>
      <c r="K519" s="6">
        <v>1.4644100446533932</v>
      </c>
      <c r="L519" s="3">
        <v>54.706085856508729</v>
      </c>
      <c r="M519" s="53">
        <v>0.2081390751870579</v>
      </c>
      <c r="N519" s="53">
        <v>0.18600884108263208</v>
      </c>
      <c r="O519" s="4">
        <v>3013996.3340765769</v>
      </c>
      <c r="P519" s="5">
        <v>4.9099412905793116E-2</v>
      </c>
      <c r="V519" s="4">
        <v>0</v>
      </c>
      <c r="W519" s="4">
        <v>58522976.983378388</v>
      </c>
      <c r="Y519" s="2">
        <v>1079682.4324324324</v>
      </c>
      <c r="Z519" s="2">
        <v>795768.75</v>
      </c>
      <c r="AA519" s="3">
        <v>73.542693129603776</v>
      </c>
      <c r="AB519" s="6">
        <v>1.3567791301586452</v>
      </c>
      <c r="AC519" s="3">
        <v>54.203879979348294</v>
      </c>
      <c r="AD519" s="4">
        <v>3552906.7063738736</v>
      </c>
      <c r="AE519" s="5">
        <v>6.0709603125332551E-2</v>
      </c>
      <c r="AL519" s="7">
        <v>4.8914310464905242E-2</v>
      </c>
      <c r="AN519" s="7">
        <v>3.9285200227794581E-2</v>
      </c>
      <c r="AO519" s="7">
        <v>-3.709997408166632E-2</v>
      </c>
      <c r="AP519" s="7">
        <v>8.9328364556370499E-2</v>
      </c>
      <c r="AQ519" s="7">
        <v>7.9328250341058171E-2</v>
      </c>
      <c r="AR519" s="7">
        <v>9.2651278349773492E-3</v>
      </c>
      <c r="AS519" s="7">
        <v>-0.15168154326442007</v>
      </c>
      <c r="AT519" s="8">
        <v>-1.1610190219539436</v>
      </c>
    </row>
    <row r="520" spans="1:46" x14ac:dyDescent="0.3">
      <c r="A520" t="str">
        <f t="shared" si="23"/>
        <v>202406 &amp; Segm SDC &gt; Les Exigeants du luxe</v>
      </c>
      <c r="B520">
        <v>202406</v>
      </c>
      <c r="C520" t="s">
        <v>59</v>
      </c>
      <c r="D520" t="s">
        <v>68</v>
      </c>
      <c r="E520" s="4">
        <v>0</v>
      </c>
      <c r="F520" s="4">
        <v>64658336.190225214</v>
      </c>
      <c r="H520" s="2">
        <v>1230492.7927927927</v>
      </c>
      <c r="I520" s="2">
        <v>855134.25</v>
      </c>
      <c r="J520" s="3">
        <v>75.611912621000982</v>
      </c>
      <c r="K520" s="6">
        <v>1.4389469171569174</v>
      </c>
      <c r="L520" s="3">
        <v>52.546700451185231</v>
      </c>
      <c r="M520" s="53">
        <v>0.23269986609816365</v>
      </c>
      <c r="N520" s="53">
        <v>0.21179100623942373</v>
      </c>
      <c r="O520" s="4">
        <v>1775426.7168693698</v>
      </c>
      <c r="P520" s="5">
        <v>2.7458589587675962E-2</v>
      </c>
      <c r="V520" s="4">
        <v>0</v>
      </c>
      <c r="W520" s="4">
        <v>59890292.670450442</v>
      </c>
      <c r="Y520" s="2">
        <v>1109645.045045045</v>
      </c>
      <c r="Z520" s="2">
        <v>790930.5</v>
      </c>
      <c r="AA520" s="3">
        <v>75.721308851347175</v>
      </c>
      <c r="AB520" s="6">
        <v>1.4029615055242464</v>
      </c>
      <c r="AC520" s="3">
        <v>53.972477899920918</v>
      </c>
      <c r="AD520" s="4">
        <v>1303190.9081756754</v>
      </c>
      <c r="AE520" s="5">
        <v>2.1759634993713479E-2</v>
      </c>
      <c r="AL520" s="7">
        <v>7.9612960751606066E-2</v>
      </c>
      <c r="AN520" s="7">
        <v>0.10890667091010342</v>
      </c>
      <c r="AO520" s="7">
        <v>8.117495785027895E-2</v>
      </c>
      <c r="AP520" s="7">
        <v>-1.4447218623881986E-3</v>
      </c>
      <c r="AQ520" s="7">
        <v>2.5649607270745722E-2</v>
      </c>
      <c r="AR520" s="7">
        <v>-2.6416749873508727E-2</v>
      </c>
      <c r="AS520" s="7">
        <v>0.36236886378740385</v>
      </c>
      <c r="AT520" s="8">
        <v>0.56989545939624819</v>
      </c>
    </row>
    <row r="521" spans="1:46" x14ac:dyDescent="0.3">
      <c r="A521" t="str">
        <f t="shared" si="23"/>
        <v>202409 &amp; Segm SDC &gt; Les Exigeants du luxe</v>
      </c>
      <c r="B521">
        <v>202409</v>
      </c>
      <c r="C521" t="s">
        <v>59</v>
      </c>
      <c r="D521" t="s">
        <v>68</v>
      </c>
      <c r="E521" s="4">
        <v>0</v>
      </c>
      <c r="F521" s="4">
        <v>60123823.086576551</v>
      </c>
      <c r="H521" s="2">
        <v>1177720.045045045</v>
      </c>
      <c r="I521" s="2">
        <v>839154.75</v>
      </c>
      <c r="J521" s="3">
        <v>71.648075741186659</v>
      </c>
      <c r="K521" s="6">
        <v>1.4034599042012752</v>
      </c>
      <c r="L521" s="3">
        <v>51.051031473508594</v>
      </c>
      <c r="M521" s="53">
        <v>0.22873431138347605</v>
      </c>
      <c r="N521" s="53">
        <v>0.20821626429904663</v>
      </c>
      <c r="O521" s="4">
        <v>1931393.748042793</v>
      </c>
      <c r="P521" s="5">
        <v>3.2123601742052268E-2</v>
      </c>
      <c r="V521" s="4">
        <v>0</v>
      </c>
      <c r="W521" s="4">
        <v>57275579.392207257</v>
      </c>
      <c r="Y521" s="2">
        <v>1093936.2612612611</v>
      </c>
      <c r="Z521" s="2">
        <v>793539</v>
      </c>
      <c r="AA521" s="3">
        <v>72.177396942314445</v>
      </c>
      <c r="AB521" s="6">
        <v>1.3785538722876394</v>
      </c>
      <c r="AC521" s="3">
        <v>52.357327771703076</v>
      </c>
      <c r="AD521" s="4">
        <v>1607446.0742058563</v>
      </c>
      <c r="AE521" s="5">
        <v>2.8065121143489656E-2</v>
      </c>
      <c r="AL521" s="7">
        <v>4.9728762669781323E-2</v>
      </c>
      <c r="AN521" s="7">
        <v>7.6589273754564813E-2</v>
      </c>
      <c r="AO521" s="7">
        <v>5.7483942188096604E-2</v>
      </c>
      <c r="AP521" s="7">
        <v>-7.3336144492829325E-3</v>
      </c>
      <c r="AQ521" s="7">
        <v>1.8066781729977333E-2</v>
      </c>
      <c r="AR521" s="7">
        <v>-2.4949636541620412E-2</v>
      </c>
      <c r="AS521" s="7">
        <v>0.20152941926650958</v>
      </c>
      <c r="AT521" s="8">
        <v>0.40584805985626127</v>
      </c>
    </row>
    <row r="522" spans="1:46" x14ac:dyDescent="0.3">
      <c r="A522" t="str">
        <f t="shared" si="23"/>
        <v>202403 &amp; Segm SDC &gt; Les Exigeants du luxe</v>
      </c>
      <c r="B522">
        <v>202403</v>
      </c>
      <c r="C522" t="s">
        <v>59</v>
      </c>
      <c r="D522" t="s">
        <v>68</v>
      </c>
      <c r="E522" s="4">
        <v>0</v>
      </c>
      <c r="F522" s="4">
        <v>68736667.941981986</v>
      </c>
      <c r="H522" s="2">
        <v>1305716.4414414414</v>
      </c>
      <c r="I522" s="2">
        <v>875420.25</v>
      </c>
      <c r="J522" s="3">
        <v>78.5184806291401</v>
      </c>
      <c r="K522" s="6">
        <v>1.4915310006153517</v>
      </c>
      <c r="L522" s="3">
        <v>52.64287540570475</v>
      </c>
      <c r="M522" s="53">
        <v>0.23862590404505274</v>
      </c>
      <c r="N522" s="53">
        <v>0.21611792893010029</v>
      </c>
      <c r="O522" s="4">
        <v>1682958.2998423427</v>
      </c>
      <c r="P522" s="5">
        <v>2.4484141437621967E-2</v>
      </c>
      <c r="V522" s="4">
        <v>0</v>
      </c>
      <c r="W522" s="4">
        <v>56065049.791846827</v>
      </c>
      <c r="Y522" s="2">
        <v>1078556.5315315314</v>
      </c>
      <c r="Z522" s="2">
        <v>763475.25</v>
      </c>
      <c r="AA522" s="3">
        <v>73.434010849528946</v>
      </c>
      <c r="AB522" s="6">
        <v>1.4126935110621219</v>
      </c>
      <c r="AC522" s="3">
        <v>51.98155882681035</v>
      </c>
      <c r="AD522" s="4">
        <v>1327300.1948423425</v>
      </c>
      <c r="AE522" s="5">
        <v>2.3674289058338856E-2</v>
      </c>
      <c r="AL522" s="7">
        <v>0.22601635416683274</v>
      </c>
      <c r="AN522" s="7">
        <v>0.21061474597659435</v>
      </c>
      <c r="AO522" s="7">
        <v>0.14662557823583677</v>
      </c>
      <c r="AP522" s="7">
        <v>6.9238622823279528E-2</v>
      </c>
      <c r="AQ522" s="7">
        <v>5.5806506461515859E-2</v>
      </c>
      <c r="AR522" s="7">
        <v>1.2722138270184313E-2</v>
      </c>
      <c r="AS522" s="7">
        <v>0.26795604067717749</v>
      </c>
      <c r="AT522" s="8">
        <v>8.0985237928311166E-2</v>
      </c>
    </row>
    <row r="523" spans="1:46" x14ac:dyDescent="0.3">
      <c r="A523" t="str">
        <f t="shared" si="23"/>
        <v>202408 &amp; Segm SDC &gt; Les Exigeants du luxe</v>
      </c>
      <c r="B523">
        <v>202408</v>
      </c>
      <c r="C523" t="s">
        <v>59</v>
      </c>
      <c r="D523" t="s">
        <v>68</v>
      </c>
      <c r="E523" s="4">
        <v>0</v>
      </c>
      <c r="F523" s="4">
        <v>71491282.198648632</v>
      </c>
      <c r="H523" s="2">
        <v>1339872.072072072</v>
      </c>
      <c r="I523" s="2">
        <v>867277.5</v>
      </c>
      <c r="J523" s="3">
        <v>82.431842401824824</v>
      </c>
      <c r="K523" s="6">
        <v>1.5449173673617405</v>
      </c>
      <c r="L523" s="3">
        <v>53.356797032189426</v>
      </c>
      <c r="M523" s="53">
        <v>0.23831986997943091</v>
      </c>
      <c r="N523" s="53">
        <v>0.21165753712751453</v>
      </c>
      <c r="O523" s="4">
        <v>1611510.1585990996</v>
      </c>
      <c r="P523" s="5">
        <v>2.2541352022772382E-2</v>
      </c>
      <c r="V523" s="4">
        <v>0</v>
      </c>
      <c r="W523" s="4">
        <v>61458028.118963964</v>
      </c>
      <c r="Y523" s="2">
        <v>1159984.009009009</v>
      </c>
      <c r="Z523" s="2">
        <v>805764.75</v>
      </c>
      <c r="AA523" s="3">
        <v>76.272917273886662</v>
      </c>
      <c r="AB523" s="6">
        <v>1.4396062982514548</v>
      </c>
      <c r="AC523" s="3">
        <v>52.981789095065579</v>
      </c>
      <c r="AD523" s="4">
        <v>1401653.0542567568</v>
      </c>
      <c r="AE523" s="5">
        <v>2.280667143344698E-2</v>
      </c>
      <c r="AL523" s="7">
        <v>0.16325375848804247</v>
      </c>
      <c r="AN523" s="7">
        <v>0.15507805423692345</v>
      </c>
      <c r="AO523" s="7">
        <v>7.6340830248530889E-2</v>
      </c>
      <c r="AP523" s="7">
        <v>8.0748519239433492E-2</v>
      </c>
      <c r="AQ523" s="7">
        <v>7.315268711882994E-2</v>
      </c>
      <c r="AR523" s="7">
        <v>7.078053488359437E-3</v>
      </c>
      <c r="AS523" s="7">
        <v>0.14972114797240033</v>
      </c>
      <c r="AT523" s="8">
        <v>-2.6531941067459847E-2</v>
      </c>
    </row>
    <row r="524" spans="1:46" x14ac:dyDescent="0.3">
      <c r="A524" t="str">
        <f t="shared" si="23"/>
        <v>202405 &amp; Segm SDC &gt; Les Exigeants du luxe</v>
      </c>
      <c r="B524">
        <v>202405</v>
      </c>
      <c r="C524" t="s">
        <v>59</v>
      </c>
      <c r="D524" t="s">
        <v>68</v>
      </c>
      <c r="E524" s="4">
        <v>0</v>
      </c>
      <c r="F524" s="4">
        <v>68573091.789189175</v>
      </c>
      <c r="H524" s="2">
        <v>1285104.5045045044</v>
      </c>
      <c r="I524" s="2">
        <v>884733</v>
      </c>
      <c r="J524" s="3">
        <v>77.507103034688626</v>
      </c>
      <c r="K524" s="6">
        <v>1.452533707349567</v>
      </c>
      <c r="L524" s="3">
        <v>53.359934191210996</v>
      </c>
      <c r="M524" s="53">
        <v>0.24076290198611511</v>
      </c>
      <c r="N524" s="53">
        <v>0.21845595034145895</v>
      </c>
      <c r="O524" s="4">
        <v>1303345.4149882875</v>
      </c>
      <c r="P524" s="5">
        <v>1.9006659623793793E-2</v>
      </c>
      <c r="V524" s="4">
        <v>0</v>
      </c>
      <c r="W524" s="4">
        <v>57846981.829909958</v>
      </c>
      <c r="Y524" s="2">
        <v>1068619.5945945946</v>
      </c>
      <c r="Z524" s="2">
        <v>784198.5</v>
      </c>
      <c r="AA524" s="3">
        <v>73.765738942257556</v>
      </c>
      <c r="AB524" s="6">
        <v>1.3626901793290787</v>
      </c>
      <c r="AC524" s="3">
        <v>54.132436016069441</v>
      </c>
      <c r="AD524" s="4">
        <v>960997.84768018033</v>
      </c>
      <c r="AE524" s="5">
        <v>1.6612756919727373E-2</v>
      </c>
      <c r="AL524" s="7">
        <v>0.18542211918363649</v>
      </c>
      <c r="AN524" s="7">
        <v>0.20258369863790349</v>
      </c>
      <c r="AO524" s="7">
        <v>0.12820032172976603</v>
      </c>
      <c r="AP524" s="7">
        <v>5.0719536550155597E-2</v>
      </c>
      <c r="AQ524" s="7">
        <v>6.5931001326158256E-2</v>
      </c>
      <c r="AR524" s="7">
        <v>-1.427059045761625E-2</v>
      </c>
      <c r="AS524" s="7">
        <v>0.35624176280365649</v>
      </c>
      <c r="AT524" s="8">
        <v>0.23939027040664196</v>
      </c>
    </row>
    <row r="525" spans="1:46" x14ac:dyDescent="0.3">
      <c r="A525" t="str">
        <f t="shared" si="23"/>
        <v>202410 &amp; Segm SDC &gt; Les Exigeants du luxe</v>
      </c>
      <c r="B525">
        <v>202410</v>
      </c>
      <c r="C525" t="s">
        <v>59</v>
      </c>
      <c r="D525" t="s">
        <v>68</v>
      </c>
      <c r="E525" s="4">
        <v>0</v>
      </c>
      <c r="F525" s="4">
        <v>60433617.890135154</v>
      </c>
      <c r="H525" s="2">
        <v>1164269.8198198196</v>
      </c>
      <c r="I525" s="2">
        <v>772210.5</v>
      </c>
      <c r="J525" s="3">
        <v>78.260549280455464</v>
      </c>
      <c r="K525" s="6">
        <v>1.507710423284609</v>
      </c>
      <c r="L525" s="3">
        <v>51.906883491567065</v>
      </c>
      <c r="M525" s="53">
        <v>0.20969631027119728</v>
      </c>
      <c r="N525" s="53">
        <v>0.18713670735841118</v>
      </c>
      <c r="O525" s="4">
        <v>1764893.3690765765</v>
      </c>
      <c r="P525" s="5">
        <v>2.9203834400334121E-2</v>
      </c>
      <c r="V525" s="4">
        <v>0</v>
      </c>
      <c r="W525" s="4">
        <v>57355827.421666652</v>
      </c>
      <c r="Y525" s="2">
        <v>1113440.3153153153</v>
      </c>
      <c r="Z525" s="2">
        <v>800029.5</v>
      </c>
      <c r="AA525" s="3">
        <v>71.692140629397599</v>
      </c>
      <c r="AB525" s="6">
        <v>1.3917490733970626</v>
      </c>
      <c r="AC525" s="3">
        <v>51.512260363434073</v>
      </c>
      <c r="AD525" s="4">
        <v>1714509.777972973</v>
      </c>
      <c r="AE525" s="5">
        <v>2.9892512322563101E-2</v>
      </c>
      <c r="AL525" s="7">
        <v>5.3661338469433995E-2</v>
      </c>
      <c r="AN525" s="7">
        <v>4.5650856903012293E-2</v>
      </c>
      <c r="AO525" s="7">
        <v>-3.4772467765251114E-2</v>
      </c>
      <c r="AP525" s="7">
        <v>9.161964747310769E-2</v>
      </c>
      <c r="AQ525" s="7">
        <v>8.3320587097285514E-2</v>
      </c>
      <c r="AR525" s="7">
        <v>7.660761250793735E-3</v>
      </c>
      <c r="AS525" s="7">
        <v>2.9386587204635939E-2</v>
      </c>
      <c r="AT525" s="8">
        <v>-6.8867792222897933E-2</v>
      </c>
    </row>
    <row r="526" spans="1:46" x14ac:dyDescent="0.3">
      <c r="A526" t="str">
        <f t="shared" si="23"/>
        <v>202404 &amp; Segm SDC &gt; Les Exigeants du luxe</v>
      </c>
      <c r="B526">
        <v>202404</v>
      </c>
      <c r="C526" t="s">
        <v>59</v>
      </c>
      <c r="D526" t="s">
        <v>68</v>
      </c>
      <c r="E526" s="4">
        <v>0</v>
      </c>
      <c r="F526" s="4">
        <v>65106009.341306292</v>
      </c>
      <c r="H526" s="2">
        <v>1260391.2162162161</v>
      </c>
      <c r="I526" s="2">
        <v>875406.75</v>
      </c>
      <c r="J526" s="3">
        <v>74.372295325922821</v>
      </c>
      <c r="K526" s="6">
        <v>1.4397778132464893</v>
      </c>
      <c r="L526" s="3">
        <v>51.655397549309455</v>
      </c>
      <c r="M526" s="53">
        <v>0.23939376170461887</v>
      </c>
      <c r="N526" s="53">
        <v>0.21709050011336159</v>
      </c>
      <c r="O526" s="4">
        <v>1717370.7642988737</v>
      </c>
      <c r="P526" s="5">
        <v>2.637806834843575E-2</v>
      </c>
      <c r="V526" s="4">
        <v>0</v>
      </c>
      <c r="W526" s="4">
        <v>58880283.453468405</v>
      </c>
      <c r="Y526" s="2">
        <v>1079684.009009009</v>
      </c>
      <c r="Z526" s="2">
        <v>784927.5</v>
      </c>
      <c r="AA526" s="3">
        <v>75.013658527021164</v>
      </c>
      <c r="AB526" s="6">
        <v>1.3755206805838871</v>
      </c>
      <c r="AC526" s="3">
        <v>54.534736980602169</v>
      </c>
      <c r="AD526" s="4">
        <v>1230229.6362162158</v>
      </c>
      <c r="AE526" s="5">
        <v>2.089374513946481E-2</v>
      </c>
      <c r="AL526" s="7">
        <v>0.10573532467380042</v>
      </c>
      <c r="AN526" s="7">
        <v>0.16737045811493467</v>
      </c>
      <c r="AO526" s="7">
        <v>0.11527083711552977</v>
      </c>
      <c r="AP526" s="7">
        <v>-8.5499522845871034E-3</v>
      </c>
      <c r="AQ526" s="7">
        <v>4.6714770319066456E-2</v>
      </c>
      <c r="AR526" s="7">
        <v>-5.2798263835340142E-2</v>
      </c>
      <c r="AS526" s="7">
        <v>0.39597577049187738</v>
      </c>
      <c r="AT526" s="8">
        <v>0.54843232089709404</v>
      </c>
    </row>
    <row r="527" spans="1:46" x14ac:dyDescent="0.3">
      <c r="A527" t="str">
        <f t="shared" si="23"/>
        <v>202401 &amp; Segm SDC &gt; Les Exigeants du luxe</v>
      </c>
      <c r="B527">
        <v>202401</v>
      </c>
      <c r="C527" t="s">
        <v>59</v>
      </c>
      <c r="D527" t="s">
        <v>68</v>
      </c>
      <c r="E527" s="4">
        <v>0</v>
      </c>
      <c r="F527" s="4">
        <v>57066335.83513511</v>
      </c>
      <c r="H527" s="2">
        <v>1098969.1441441441</v>
      </c>
      <c r="I527" s="2">
        <v>798066</v>
      </c>
      <c r="J527" s="3">
        <v>71.505785029227042</v>
      </c>
      <c r="K527" s="6">
        <v>1.3770404254086055</v>
      </c>
      <c r="L527" s="3">
        <v>51.927150220015747</v>
      </c>
      <c r="M527" s="53">
        <v>0.21272332246269468</v>
      </c>
      <c r="N527" s="53">
        <v>0.20253702323748832</v>
      </c>
      <c r="O527" s="4">
        <v>2249342.3794144141</v>
      </c>
      <c r="P527" s="5">
        <v>3.9416274875484804E-2</v>
      </c>
      <c r="V527" s="4">
        <v>0</v>
      </c>
      <c r="W527" s="4">
        <v>51504271.819459453</v>
      </c>
      <c r="Y527" s="2">
        <v>1013757.2072072071</v>
      </c>
      <c r="Z527" s="2">
        <v>749022.75</v>
      </c>
      <c r="AA527" s="3">
        <v>68.76195925886023</v>
      </c>
      <c r="AB527" s="6">
        <v>1.3534398083465518</v>
      </c>
      <c r="AC527" s="3">
        <v>50.805332335291823</v>
      </c>
      <c r="AD527" s="4">
        <v>1597140.419887387</v>
      </c>
      <c r="AE527" s="5">
        <v>3.1009863133021755E-2</v>
      </c>
      <c r="AL527" s="7">
        <v>0.10799228528407601</v>
      </c>
      <c r="AN527" s="7">
        <v>8.4055567083648031E-2</v>
      </c>
      <c r="AO527" s="7">
        <v>6.5476315639277916E-2</v>
      </c>
      <c r="AP527" s="7">
        <v>3.9903251738907741E-2</v>
      </c>
      <c r="AQ527" s="7">
        <v>1.743750768708785E-2</v>
      </c>
      <c r="AR527" s="7">
        <v>2.2080711475725545E-2</v>
      </c>
      <c r="AS527" s="7">
        <v>0.40835605398616948</v>
      </c>
      <c r="AT527" s="8">
        <v>0.8406411742463048</v>
      </c>
    </row>
    <row r="528" spans="1:46" x14ac:dyDescent="0.3">
      <c r="A528" t="str">
        <f t="shared" si="23"/>
        <v>202407 &amp; Segm SDC &gt; Les Exigeants du luxe</v>
      </c>
      <c r="B528">
        <v>202407</v>
      </c>
      <c r="C528" t="s">
        <v>59</v>
      </c>
      <c r="D528" t="s">
        <v>68</v>
      </c>
      <c r="E528" s="4">
        <v>0</v>
      </c>
      <c r="F528" s="4">
        <v>68482771.923963994</v>
      </c>
      <c r="H528" s="2">
        <v>1309731.9819819818</v>
      </c>
      <c r="I528" s="2">
        <v>865860.75</v>
      </c>
      <c r="J528" s="3">
        <v>79.092131066068063</v>
      </c>
      <c r="K528" s="6">
        <v>1.5126358158421915</v>
      </c>
      <c r="L528" s="3">
        <v>52.287622861839935</v>
      </c>
      <c r="M528" s="53">
        <v>0.23844698448822813</v>
      </c>
      <c r="N528" s="53">
        <v>0.21274257798125071</v>
      </c>
      <c r="O528" s="4">
        <v>816740.70727184683</v>
      </c>
      <c r="P528" s="5">
        <v>1.1926221505441823E-2</v>
      </c>
      <c r="V528" s="4">
        <v>0</v>
      </c>
      <c r="W528" s="4">
        <v>61069631.724954993</v>
      </c>
      <c r="Y528" s="2">
        <v>1139721.6216216215</v>
      </c>
      <c r="Z528" s="2">
        <v>804135.75</v>
      </c>
      <c r="AA528" s="3">
        <v>75.944430682201343</v>
      </c>
      <c r="AB528" s="6">
        <v>1.4173249002069881</v>
      </c>
      <c r="AC528" s="3">
        <v>53.582936891259244</v>
      </c>
      <c r="AD528" s="4">
        <v>687786.86340090074</v>
      </c>
      <c r="AE528" s="5">
        <v>1.1262338481072732E-2</v>
      </c>
      <c r="AL528" s="7">
        <v>0.12138832328965488</v>
      </c>
      <c r="AN528" s="7">
        <v>0.14916832069787866</v>
      </c>
      <c r="AO528" s="7">
        <v>7.6759427745874964E-2</v>
      </c>
      <c r="AP528" s="7">
        <v>4.1447415637871465E-2</v>
      </c>
      <c r="AQ528" s="7">
        <v>6.7247048027790912E-2</v>
      </c>
      <c r="AR528" s="7">
        <v>-2.4174002109067061E-2</v>
      </c>
      <c r="AS528" s="7">
        <v>0.18749099573275907</v>
      </c>
      <c r="AT528" s="8">
        <v>6.6388302436909061E-2</v>
      </c>
    </row>
    <row r="529" spans="1:46" x14ac:dyDescent="0.3">
      <c r="A529" t="str">
        <f t="shared" si="23"/>
        <v>202402 &amp; Segm SDC &gt; Les Exigeants du luxe</v>
      </c>
      <c r="B529">
        <v>202402</v>
      </c>
      <c r="C529" t="s">
        <v>59</v>
      </c>
      <c r="D529" t="s">
        <v>68</v>
      </c>
      <c r="E529" s="4">
        <v>0</v>
      </c>
      <c r="F529" s="4">
        <v>61029295.038423434</v>
      </c>
      <c r="H529" s="2">
        <v>1196969.8198198196</v>
      </c>
      <c r="I529" s="2">
        <v>850356.75</v>
      </c>
      <c r="J529" s="3">
        <v>71.769048741511654</v>
      </c>
      <c r="K529" s="6">
        <v>1.407609006243344</v>
      </c>
      <c r="L529" s="3">
        <v>50.986494419391626</v>
      </c>
      <c r="M529" s="53">
        <v>0.2360704391317201</v>
      </c>
      <c r="N529" s="53">
        <v>0.2147739350845346</v>
      </c>
      <c r="O529" s="4">
        <v>1483271.2343018018</v>
      </c>
      <c r="P529" s="5">
        <v>2.4304249842111873E-2</v>
      </c>
      <c r="V529" s="4">
        <v>0</v>
      </c>
      <c r="W529" s="4">
        <v>49048617.222477481</v>
      </c>
      <c r="Y529" s="2">
        <v>959122.74774774769</v>
      </c>
      <c r="Z529" s="2">
        <v>743461.5</v>
      </c>
      <c r="AA529" s="3">
        <v>65.973311627404357</v>
      </c>
      <c r="AB529" s="6">
        <v>1.2900772235653732</v>
      </c>
      <c r="AC529" s="3">
        <v>51.139040688645437</v>
      </c>
      <c r="AD529" s="4">
        <v>990415.8032207205</v>
      </c>
      <c r="AE529" s="5">
        <v>2.0192532619795103E-2</v>
      </c>
      <c r="AL529" s="7">
        <v>0.24426127573797474</v>
      </c>
      <c r="AN529" s="7">
        <v>0.24798397559706986</v>
      </c>
      <c r="AO529" s="7">
        <v>0.1437804782090264</v>
      </c>
      <c r="AP529" s="7">
        <v>8.7849722427755683E-2</v>
      </c>
      <c r="AQ529" s="7">
        <v>9.1104455245825777E-2</v>
      </c>
      <c r="AR529" s="7">
        <v>-2.9829708809473443E-3</v>
      </c>
      <c r="AS529" s="7">
        <v>0.49762476474867534</v>
      </c>
      <c r="AT529" s="8">
        <v>0.41117172223167697</v>
      </c>
    </row>
    <row r="530" spans="1:46" x14ac:dyDescent="0.3">
      <c r="A530" t="str">
        <f t="shared" si="23"/>
        <v>202212 &amp; Segm SDC &gt; Les Pragmatiques</v>
      </c>
      <c r="B530">
        <v>202212</v>
      </c>
      <c r="C530" t="s">
        <v>59</v>
      </c>
      <c r="D530" t="s">
        <v>62</v>
      </c>
      <c r="E530" s="4">
        <v>0</v>
      </c>
      <c r="F530" s="4">
        <v>64906750.016216196</v>
      </c>
      <c r="H530" s="2">
        <v>1308063.2882882883</v>
      </c>
      <c r="I530" s="2">
        <v>780822</v>
      </c>
      <c r="J530" s="3">
        <v>83.126179867135136</v>
      </c>
      <c r="K530" s="6">
        <v>1.6752387718177617</v>
      </c>
      <c r="L530" s="3">
        <v>49.620496651314312</v>
      </c>
      <c r="M530" s="53">
        <v>0.20283634803866821</v>
      </c>
      <c r="N530" s="53">
        <v>0.19850636305811181</v>
      </c>
      <c r="O530" s="4">
        <v>2092380.1051801811</v>
      </c>
      <c r="P530" s="5">
        <v>3.2236710429307036E-2</v>
      </c>
    </row>
    <row r="531" spans="1:46" x14ac:dyDescent="0.3">
      <c r="A531" t="str">
        <f t="shared" si="23"/>
        <v>202307 &amp; Segm SDC &gt; Les Pragmatiques</v>
      </c>
      <c r="B531">
        <v>202307</v>
      </c>
      <c r="C531" t="s">
        <v>59</v>
      </c>
      <c r="D531" t="s">
        <v>62</v>
      </c>
      <c r="E531" s="4">
        <v>0</v>
      </c>
      <c r="F531" s="4">
        <v>55348483.834279239</v>
      </c>
      <c r="H531" s="2">
        <v>1205242.1171171169</v>
      </c>
      <c r="I531" s="2">
        <v>774246.75</v>
      </c>
      <c r="J531" s="3">
        <v>71.486879130302114</v>
      </c>
      <c r="K531" s="6">
        <v>1.5566640959321003</v>
      </c>
      <c r="L531" s="3">
        <v>45.923124530920177</v>
      </c>
      <c r="M531" s="53">
        <v>0.2007361022376091</v>
      </c>
      <c r="N531" s="53">
        <v>0.19736309813314246</v>
      </c>
      <c r="O531" s="4">
        <v>642929.55197612615</v>
      </c>
      <c r="P531" s="5">
        <v>1.1616028252935404E-2</v>
      </c>
    </row>
    <row r="532" spans="1:46" x14ac:dyDescent="0.3">
      <c r="A532" t="str">
        <f t="shared" si="23"/>
        <v>202304 &amp; Segm SDC &gt; Les Pragmatiques</v>
      </c>
      <c r="B532">
        <v>202304</v>
      </c>
      <c r="C532" t="s">
        <v>59</v>
      </c>
      <c r="D532" t="s">
        <v>62</v>
      </c>
      <c r="E532" s="4">
        <v>0</v>
      </c>
      <c r="F532" s="4">
        <v>54826738.660450436</v>
      </c>
      <c r="H532" s="2">
        <v>1168078.3783783782</v>
      </c>
      <c r="I532" s="2">
        <v>765124.5</v>
      </c>
      <c r="J532" s="3">
        <v>71.657277554764534</v>
      </c>
      <c r="K532" s="6">
        <v>1.5266513859880035</v>
      </c>
      <c r="L532" s="3">
        <v>46.937551174061959</v>
      </c>
      <c r="M532" s="53">
        <v>0.19925216251084182</v>
      </c>
      <c r="N532" s="53">
        <v>0.19444696464309541</v>
      </c>
      <c r="O532" s="4">
        <v>1186045.3562387393</v>
      </c>
      <c r="P532" s="5">
        <v>2.1632608198420885E-2</v>
      </c>
    </row>
    <row r="533" spans="1:46" x14ac:dyDescent="0.3">
      <c r="A533" t="str">
        <f t="shared" si="23"/>
        <v>202301 &amp; Segm SDC &gt; Les Pragmatiques</v>
      </c>
      <c r="B533">
        <v>202301</v>
      </c>
      <c r="C533" t="s">
        <v>59</v>
      </c>
      <c r="D533" t="s">
        <v>62</v>
      </c>
      <c r="E533" s="4">
        <v>0</v>
      </c>
      <c r="F533" s="4">
        <v>48485300.68490991</v>
      </c>
      <c r="H533" s="2">
        <v>1107028.8288288286</v>
      </c>
      <c r="I533" s="2">
        <v>741679.5</v>
      </c>
      <c r="J533" s="3">
        <v>65.372307964437354</v>
      </c>
      <c r="K533" s="6">
        <v>1.4925973130291839</v>
      </c>
      <c r="L533" s="3">
        <v>43.797685681053586</v>
      </c>
      <c r="M533" s="53">
        <v>0.19665565983475217</v>
      </c>
      <c r="N533" s="53">
        <v>0.1966776808681848</v>
      </c>
      <c r="O533" s="4">
        <v>1620742.4269369361</v>
      </c>
      <c r="P533" s="5">
        <v>3.3427500789767403E-2</v>
      </c>
    </row>
    <row r="534" spans="1:46" x14ac:dyDescent="0.3">
      <c r="A534" t="str">
        <f t="shared" si="23"/>
        <v>202305 &amp; Segm SDC &gt; Les Pragmatiques</v>
      </c>
      <c r="B534">
        <v>202305</v>
      </c>
      <c r="C534" t="s">
        <v>59</v>
      </c>
      <c r="D534" t="s">
        <v>62</v>
      </c>
      <c r="E534" s="4">
        <v>0</v>
      </c>
      <c r="F534" s="4">
        <v>53243204.086081065</v>
      </c>
      <c r="H534" s="2">
        <v>1148333.7837837837</v>
      </c>
      <c r="I534" s="2">
        <v>760631.25</v>
      </c>
      <c r="J534" s="3">
        <v>69.998707108182927</v>
      </c>
      <c r="K534" s="6">
        <v>1.5097115504836065</v>
      </c>
      <c r="L534" s="3">
        <v>46.365616720465717</v>
      </c>
      <c r="M534" s="53">
        <v>0.19833259247629298</v>
      </c>
      <c r="N534" s="53">
        <v>0.19557162625807606</v>
      </c>
      <c r="O534" s="4">
        <v>917891.28155405424</v>
      </c>
      <c r="P534" s="5">
        <v>1.7239595124103568E-2</v>
      </c>
    </row>
    <row r="535" spans="1:46" x14ac:dyDescent="0.3">
      <c r="A535" t="str">
        <f t="shared" si="23"/>
        <v>202311 &amp; Segm SDC &gt; Les Pragmatiques</v>
      </c>
      <c r="B535">
        <v>202311</v>
      </c>
      <c r="C535" t="s">
        <v>59</v>
      </c>
      <c r="D535" t="s">
        <v>62</v>
      </c>
      <c r="E535" s="4">
        <v>0</v>
      </c>
      <c r="F535" s="4">
        <v>53692656.722432427</v>
      </c>
      <c r="H535" s="2">
        <v>1145236.4864864864</v>
      </c>
      <c r="I535" s="2">
        <v>764810.25</v>
      </c>
      <c r="J535" s="3">
        <v>70.203892694210651</v>
      </c>
      <c r="K535" s="6">
        <v>1.4974125758467363</v>
      </c>
      <c r="L535" s="3">
        <v>46.883466738959854</v>
      </c>
      <c r="M535" s="53">
        <v>0.19777811372182313</v>
      </c>
      <c r="N535" s="53">
        <v>0.19478857140237488</v>
      </c>
      <c r="O535" s="4">
        <v>3337520.5235439185</v>
      </c>
      <c r="P535" s="5">
        <v>6.2159720290941106E-2</v>
      </c>
    </row>
    <row r="536" spans="1:46" x14ac:dyDescent="0.3">
      <c r="A536" t="str">
        <f t="shared" si="23"/>
        <v>202310 &amp; Segm SDC &gt; Les Pragmatiques</v>
      </c>
      <c r="B536">
        <v>202310</v>
      </c>
      <c r="C536" t="s">
        <v>59</v>
      </c>
      <c r="D536" t="s">
        <v>62</v>
      </c>
      <c r="E536" s="4">
        <v>0</v>
      </c>
      <c r="F536" s="4">
        <v>52640371.633198187</v>
      </c>
      <c r="H536" s="2">
        <v>1185637.3873873872</v>
      </c>
      <c r="I536" s="2">
        <v>769501.5</v>
      </c>
      <c r="J536" s="3">
        <v>68.408406784389882</v>
      </c>
      <c r="K536" s="6">
        <v>1.5407863238569219</v>
      </c>
      <c r="L536" s="3">
        <v>44.398373561071608</v>
      </c>
      <c r="M536" s="53">
        <v>0.19871696933262939</v>
      </c>
      <c r="N536" s="53">
        <v>0.1958627978048901</v>
      </c>
      <c r="O536" s="4">
        <v>1598388.6617342345</v>
      </c>
      <c r="P536" s="5">
        <v>3.0364311879709345E-2</v>
      </c>
    </row>
    <row r="537" spans="1:46" x14ac:dyDescent="0.3">
      <c r="A537" t="str">
        <f t="shared" si="23"/>
        <v>202302 &amp; Segm SDC &gt; Les Pragmatiques</v>
      </c>
      <c r="B537" s="1">
        <v>202302</v>
      </c>
      <c r="C537" t="s">
        <v>59</v>
      </c>
      <c r="D537" t="s">
        <v>62</v>
      </c>
      <c r="E537" s="4">
        <v>0</v>
      </c>
      <c r="F537" s="4">
        <v>45975399.769144148</v>
      </c>
      <c r="H537" s="2">
        <v>1045934.9099099098</v>
      </c>
      <c r="I537" s="2">
        <v>729887.25</v>
      </c>
      <c r="J537" s="3">
        <v>62.989728576768741</v>
      </c>
      <c r="K537" s="6">
        <v>1.4330088789876927</v>
      </c>
      <c r="L537" s="3">
        <v>43.956272358386215</v>
      </c>
      <c r="M537" s="53">
        <v>0.198960823886701</v>
      </c>
      <c r="N537" s="53">
        <v>0.19422720789120693</v>
      </c>
      <c r="O537" s="4">
        <v>1020653.3621141894</v>
      </c>
      <c r="P537" s="5">
        <v>2.2199988847061401E-2</v>
      </c>
    </row>
    <row r="538" spans="1:46" x14ac:dyDescent="0.3">
      <c r="A538" t="str">
        <f t="shared" si="23"/>
        <v>202308 &amp; Segm SDC &gt; Les Pragmatiques</v>
      </c>
      <c r="B538" s="1">
        <v>202308</v>
      </c>
      <c r="C538" t="s">
        <v>59</v>
      </c>
      <c r="D538" t="s">
        <v>62</v>
      </c>
      <c r="E538" s="4">
        <v>0</v>
      </c>
      <c r="F538" s="4">
        <v>55620065.796846837</v>
      </c>
      <c r="H538" s="2">
        <v>1217932.4324324324</v>
      </c>
      <c r="I538" s="2">
        <v>774239.25</v>
      </c>
      <c r="J538" s="3">
        <v>71.838344280333033</v>
      </c>
      <c r="K538" s="6">
        <v>1.5730698649447601</v>
      </c>
      <c r="L538" s="3">
        <v>45.667612024883397</v>
      </c>
      <c r="M538" s="53">
        <v>0.20148923640072167</v>
      </c>
      <c r="N538" s="53">
        <v>0.19777051991826478</v>
      </c>
      <c r="O538" s="4">
        <v>1351178.6418018017</v>
      </c>
      <c r="P538" s="5">
        <v>2.4293006893177777E-2</v>
      </c>
    </row>
    <row r="539" spans="1:46" x14ac:dyDescent="0.3">
      <c r="A539" t="str">
        <f t="shared" si="23"/>
        <v>202303 &amp; Segm SDC &gt; Les Pragmatiques</v>
      </c>
      <c r="B539" s="1">
        <v>202303</v>
      </c>
      <c r="C539" t="s">
        <v>59</v>
      </c>
      <c r="D539" t="s">
        <v>62</v>
      </c>
      <c r="E539" s="4">
        <v>0</v>
      </c>
      <c r="F539" s="4">
        <v>52545146.14977476</v>
      </c>
      <c r="H539" s="2">
        <v>1176661.7117117117</v>
      </c>
      <c r="I539" s="2">
        <v>749242.5</v>
      </c>
      <c r="J539" s="3">
        <v>70.131027203842223</v>
      </c>
      <c r="K539" s="6">
        <v>1.5704684554222588</v>
      </c>
      <c r="L539" s="3">
        <v>44.656119619407313</v>
      </c>
      <c r="M539" s="53">
        <v>0.19788005968269112</v>
      </c>
      <c r="N539" s="53">
        <v>0.19365972269743748</v>
      </c>
      <c r="O539" s="4">
        <v>1301952.1258333335</v>
      </c>
      <c r="P539" s="5">
        <v>2.4777781036563248E-2</v>
      </c>
    </row>
    <row r="540" spans="1:46" x14ac:dyDescent="0.3">
      <c r="A540" t="str">
        <f t="shared" si="23"/>
        <v>202306 &amp; Segm SDC &gt; Les Pragmatiques</v>
      </c>
      <c r="B540" s="1">
        <v>202306</v>
      </c>
      <c r="C540" t="s">
        <v>59</v>
      </c>
      <c r="D540" t="s">
        <v>62</v>
      </c>
      <c r="E540" s="4">
        <v>0</v>
      </c>
      <c r="F540" s="4">
        <v>55729196.081801824</v>
      </c>
      <c r="H540" s="2">
        <v>1196084.9099099098</v>
      </c>
      <c r="I540" s="2">
        <v>768885.75</v>
      </c>
      <c r="J540" s="3">
        <v>72.480464206550621</v>
      </c>
      <c r="K540" s="6">
        <v>1.5556081120113225</v>
      </c>
      <c r="L540" s="3">
        <v>46.593009927697686</v>
      </c>
      <c r="M540" s="53">
        <v>0.20055563302122945</v>
      </c>
      <c r="N540" s="53">
        <v>0.19652106036693684</v>
      </c>
      <c r="O540" s="4">
        <v>1234588.0460585584</v>
      </c>
      <c r="P540" s="5">
        <v>2.2153343899782341E-2</v>
      </c>
    </row>
    <row r="541" spans="1:46" x14ac:dyDescent="0.3">
      <c r="A541" t="str">
        <f t="shared" si="23"/>
        <v>202309 &amp; Segm SDC &gt; Les Pragmatiques</v>
      </c>
      <c r="B541" s="1">
        <v>202309</v>
      </c>
      <c r="C541" t="s">
        <v>59</v>
      </c>
      <c r="D541" t="s">
        <v>62</v>
      </c>
      <c r="E541" s="4">
        <v>0</v>
      </c>
      <c r="F541" s="4">
        <v>53172327.805900902</v>
      </c>
      <c r="H541" s="2">
        <v>1173187.3873873872</v>
      </c>
      <c r="I541" s="2">
        <v>768303</v>
      </c>
      <c r="J541" s="3">
        <v>69.207497310176976</v>
      </c>
      <c r="K541" s="6">
        <v>1.5269853005746263</v>
      </c>
      <c r="L541" s="3">
        <v>45.322962365212817</v>
      </c>
      <c r="M541" s="53">
        <v>0.19814387612920564</v>
      </c>
      <c r="N541" s="53">
        <v>0.19663064984602061</v>
      </c>
      <c r="O541" s="4">
        <v>1566979.7290707207</v>
      </c>
      <c r="P541" s="5">
        <v>2.9469835038834283E-2</v>
      </c>
    </row>
    <row r="542" spans="1:46" x14ac:dyDescent="0.3">
      <c r="A542" t="str">
        <f t="shared" si="23"/>
        <v>202401 &amp; Segm SDC &gt; Les Pragmatiques</v>
      </c>
      <c r="B542">
        <v>202401</v>
      </c>
      <c r="C542" t="s">
        <v>59</v>
      </c>
      <c r="D542" t="s">
        <v>62</v>
      </c>
      <c r="E542" s="4">
        <v>0</v>
      </c>
      <c r="F542" s="4">
        <v>52427772.923648641</v>
      </c>
      <c r="H542" s="2">
        <v>1159409.2342342341</v>
      </c>
      <c r="I542" s="2">
        <v>761099.25</v>
      </c>
      <c r="J542" s="3">
        <v>68.884278789722416</v>
      </c>
      <c r="K542" s="6">
        <v>1.5233351422094215</v>
      </c>
      <c r="L542" s="3">
        <v>45.219385334873671</v>
      </c>
      <c r="M542" s="53">
        <v>0.19543238377628067</v>
      </c>
      <c r="N542" s="53">
        <v>0.19315542384124237</v>
      </c>
      <c r="O542" s="4">
        <v>2202889.620968468</v>
      </c>
      <c r="P542" s="5">
        <v>4.2017608189776998E-2</v>
      </c>
      <c r="V542" s="4">
        <v>0</v>
      </c>
      <c r="W542" s="4">
        <v>48485300.68490991</v>
      </c>
      <c r="Y542" s="2">
        <v>1107028.8288288286</v>
      </c>
      <c r="Z542" s="2">
        <v>741679.5</v>
      </c>
      <c r="AA542" s="3">
        <v>65.372307964437354</v>
      </c>
      <c r="AB542" s="6">
        <v>1.4925973130291839</v>
      </c>
      <c r="AC542" s="3">
        <v>43.797685681053586</v>
      </c>
      <c r="AD542" s="4">
        <v>1620742.4269369361</v>
      </c>
      <c r="AE542" s="5">
        <v>3.3427500789767403E-2</v>
      </c>
      <c r="AL542" s="7">
        <v>8.1312731550528428E-2</v>
      </c>
      <c r="AN542" s="7">
        <v>4.731620716763163E-2</v>
      </c>
      <c r="AO542" s="7">
        <v>2.618347952181499E-2</v>
      </c>
      <c r="AP542" s="7">
        <v>5.3722607242130405E-2</v>
      </c>
      <c r="AQ542" s="7">
        <v>2.0593517696917196E-2</v>
      </c>
      <c r="AR542" s="7">
        <v>3.2460611370502157E-2</v>
      </c>
      <c r="AS542" s="7">
        <v>0.35918550928029935</v>
      </c>
      <c r="AT542" s="8">
        <v>0.85901074000095945</v>
      </c>
    </row>
    <row r="543" spans="1:46" x14ac:dyDescent="0.3">
      <c r="A543" t="str">
        <f t="shared" si="23"/>
        <v>202407 &amp; Segm SDC &gt; Les Pragmatiques</v>
      </c>
      <c r="B543">
        <v>202407</v>
      </c>
      <c r="C543" t="s">
        <v>59</v>
      </c>
      <c r="D543" t="s">
        <v>62</v>
      </c>
      <c r="E543" s="4">
        <v>0</v>
      </c>
      <c r="F543" s="4">
        <v>52658010.306801811</v>
      </c>
      <c r="H543" s="2">
        <v>1157556.5315315314</v>
      </c>
      <c r="I543" s="2">
        <v>735906</v>
      </c>
      <c r="J543" s="3">
        <v>71.555348518427365</v>
      </c>
      <c r="K543" s="6">
        <v>1.5729679218969967</v>
      </c>
      <c r="L543" s="3">
        <v>45.490659740938476</v>
      </c>
      <c r="M543" s="53">
        <v>0.18334748162279321</v>
      </c>
      <c r="N543" s="53">
        <v>0.18081260709862443</v>
      </c>
      <c r="O543" s="4">
        <v>692813.73296171229</v>
      </c>
      <c r="P543" s="5">
        <v>1.3156853609264113E-2</v>
      </c>
      <c r="V543" s="4">
        <v>0</v>
      </c>
      <c r="W543" s="4">
        <v>55348483.834279239</v>
      </c>
      <c r="Y543" s="2">
        <v>1205242.1171171169</v>
      </c>
      <c r="Z543" s="2">
        <v>774246.75</v>
      </c>
      <c r="AA543" s="3">
        <v>71.486879130302114</v>
      </c>
      <c r="AB543" s="6">
        <v>1.5566640959321003</v>
      </c>
      <c r="AC543" s="3">
        <v>45.923124530920177</v>
      </c>
      <c r="AD543" s="4">
        <v>642929.55197612615</v>
      </c>
      <c r="AE543" s="5">
        <v>1.1616028252935404E-2</v>
      </c>
      <c r="AL543" s="7">
        <v>-4.8609706013502896E-2</v>
      </c>
      <c r="AN543" s="7">
        <v>-3.9565150361362433E-2</v>
      </c>
      <c r="AO543" s="7">
        <v>-4.952006579297874E-2</v>
      </c>
      <c r="AP543" s="7">
        <v>9.5778958262315861E-4</v>
      </c>
      <c r="AQ543" s="7">
        <v>1.0473567166803477E-2</v>
      </c>
      <c r="AR543" s="7">
        <v>-9.4171464681267469E-3</v>
      </c>
      <c r="AS543" s="7">
        <v>7.7588875534280177E-2</v>
      </c>
      <c r="AT543" s="8">
        <v>0.15408253563287089</v>
      </c>
    </row>
    <row r="544" spans="1:46" x14ac:dyDescent="0.3">
      <c r="A544" t="str">
        <f t="shared" si="23"/>
        <v>202403 &amp; Segm SDC &gt; Les Pragmatiques</v>
      </c>
      <c r="B544">
        <v>202403</v>
      </c>
      <c r="C544" t="s">
        <v>59</v>
      </c>
      <c r="D544" t="s">
        <v>62</v>
      </c>
      <c r="E544" s="4">
        <v>0</v>
      </c>
      <c r="F544" s="4">
        <v>53932576.068873867</v>
      </c>
      <c r="H544" s="2">
        <v>1177614.8648648649</v>
      </c>
      <c r="I544" s="2">
        <v>750678.75</v>
      </c>
      <c r="J544" s="3">
        <v>71.845081626293364</v>
      </c>
      <c r="K544" s="6">
        <v>1.5687334493814629</v>
      </c>
      <c r="L544" s="3">
        <v>45.798144773811771</v>
      </c>
      <c r="M544" s="53">
        <v>0.18723208597740637</v>
      </c>
      <c r="N544" s="53">
        <v>0.18532257706151589</v>
      </c>
      <c r="O544" s="4">
        <v>1385660.0940540531</v>
      </c>
      <c r="P544" s="5">
        <v>2.569245148395127E-2</v>
      </c>
      <c r="V544" s="4">
        <v>0</v>
      </c>
      <c r="W544" s="4">
        <v>52545146.14977476</v>
      </c>
      <c r="Y544" s="2">
        <v>1176661.7117117117</v>
      </c>
      <c r="Z544" s="2">
        <v>749242.5</v>
      </c>
      <c r="AA544" s="3">
        <v>70.131027203842223</v>
      </c>
      <c r="AB544" s="6">
        <v>1.5704684554222588</v>
      </c>
      <c r="AC544" s="3">
        <v>44.656119619407313</v>
      </c>
      <c r="AD544" s="4">
        <v>1301952.1258333335</v>
      </c>
      <c r="AE544" s="5">
        <v>2.4777781036563248E-2</v>
      </c>
      <c r="AL544" s="7">
        <v>2.6404530594402953E-2</v>
      </c>
      <c r="AN544" s="7">
        <v>8.1004858377387023E-4</v>
      </c>
      <c r="AO544" s="7">
        <v>1.9169361054665046E-3</v>
      </c>
      <c r="AP544" s="7">
        <v>2.4440743145955679E-2</v>
      </c>
      <c r="AQ544" s="7">
        <v>-1.1047697486731289E-3</v>
      </c>
      <c r="AR544" s="7">
        <v>2.5573766017684685E-2</v>
      </c>
      <c r="AS544" s="7">
        <v>6.4294198350143716E-2</v>
      </c>
      <c r="AT544" s="8">
        <v>9.1467044738802183E-2</v>
      </c>
    </row>
    <row r="545" spans="1:46" x14ac:dyDescent="0.3">
      <c r="A545" t="str">
        <f t="shared" si="23"/>
        <v>202408 &amp; Segm SDC &gt; Les Pragmatiques</v>
      </c>
      <c r="B545">
        <v>202408</v>
      </c>
      <c r="C545" t="s">
        <v>59</v>
      </c>
      <c r="D545" t="s">
        <v>62</v>
      </c>
      <c r="E545" s="4">
        <v>0</v>
      </c>
      <c r="F545" s="4">
        <v>55018406.846891887</v>
      </c>
      <c r="H545" s="2">
        <v>1178560.5855855856</v>
      </c>
      <c r="I545" s="2">
        <v>736245</v>
      </c>
      <c r="J545" s="3">
        <v>74.728394551938393</v>
      </c>
      <c r="K545" s="6">
        <v>1.6007722776868918</v>
      </c>
      <c r="L545" s="3">
        <v>46.682714083430142</v>
      </c>
      <c r="M545" s="53">
        <v>0.18340669187878347</v>
      </c>
      <c r="N545" s="53">
        <v>0.17967928768179381</v>
      </c>
      <c r="O545" s="4">
        <v>1327126.3739200451</v>
      </c>
      <c r="P545" s="5">
        <v>2.4121497694639581E-2</v>
      </c>
      <c r="V545" s="4">
        <v>0</v>
      </c>
      <c r="W545" s="4">
        <v>55620065.796846837</v>
      </c>
      <c r="Y545" s="2">
        <v>1217932.4324324324</v>
      </c>
      <c r="Z545" s="2">
        <v>774239.25</v>
      </c>
      <c r="AA545" s="3">
        <v>71.838344280333033</v>
      </c>
      <c r="AB545" s="6">
        <v>1.5730698649447601</v>
      </c>
      <c r="AC545" s="3">
        <v>45.667612024883397</v>
      </c>
      <c r="AD545" s="4">
        <v>1351178.6418018017</v>
      </c>
      <c r="AE545" s="5">
        <v>2.4293006893177777E-2</v>
      </c>
      <c r="AL545" s="7">
        <v>-1.0817300219537973E-2</v>
      </c>
      <c r="AN545" s="7">
        <v>-3.2326790713844589E-2</v>
      </c>
      <c r="AO545" s="7">
        <v>-4.9073009408913348E-2</v>
      </c>
      <c r="AP545" s="7">
        <v>4.0229912041507943E-2</v>
      </c>
      <c r="AQ545" s="7">
        <v>1.7610414743470137E-2</v>
      </c>
      <c r="AR545" s="7">
        <v>2.222805208193579E-2</v>
      </c>
      <c r="AS545" s="7">
        <v>-1.7800953284521137E-2</v>
      </c>
      <c r="AT545" s="8">
        <v>-1.7150919853819654E-2</v>
      </c>
    </row>
    <row r="546" spans="1:46" x14ac:dyDescent="0.3">
      <c r="A546" t="str">
        <f t="shared" si="23"/>
        <v>202411 &amp; Segm SDC &gt; Les Pragmatiques</v>
      </c>
      <c r="B546">
        <v>202411</v>
      </c>
      <c r="C546" t="s">
        <v>59</v>
      </c>
      <c r="D546" t="s">
        <v>62</v>
      </c>
      <c r="E546" s="4">
        <v>0</v>
      </c>
      <c r="F546" s="4">
        <v>52681571.356846839</v>
      </c>
      <c r="H546" s="2">
        <v>1110537.3873873872</v>
      </c>
      <c r="I546" s="2">
        <v>724846.5</v>
      </c>
      <c r="J546" s="3">
        <v>72.679624385089582</v>
      </c>
      <c r="K546" s="6">
        <v>1.5321000893118573</v>
      </c>
      <c r="L546" s="3">
        <v>47.437908849501888</v>
      </c>
      <c r="M546" s="53">
        <v>0.17862651299984184</v>
      </c>
      <c r="N546" s="53">
        <v>0.17595902806351887</v>
      </c>
      <c r="O546" s="4">
        <v>2586550.8159234235</v>
      </c>
      <c r="P546" s="5">
        <v>4.909782964526662E-2</v>
      </c>
      <c r="V546" s="4">
        <v>0</v>
      </c>
      <c r="W546" s="4">
        <v>53692656.722432427</v>
      </c>
      <c r="Y546" s="2">
        <v>1145236.4864864864</v>
      </c>
      <c r="Z546" s="2">
        <v>764810.25</v>
      </c>
      <c r="AA546" s="3">
        <v>70.203892694210651</v>
      </c>
      <c r="AB546" s="6">
        <v>1.4974125758467363</v>
      </c>
      <c r="AC546" s="3">
        <v>46.883466738959854</v>
      </c>
      <c r="AD546" s="4">
        <v>3337520.5235439185</v>
      </c>
      <c r="AE546" s="5">
        <v>6.2159720290941106E-2</v>
      </c>
      <c r="AL546" s="7">
        <v>-1.8830980385501461E-2</v>
      </c>
      <c r="AN546" s="7">
        <v>-3.0298632211373078E-2</v>
      </c>
      <c r="AO546" s="7">
        <v>-5.2253156910488596E-2</v>
      </c>
      <c r="AP546" s="7">
        <v>3.526487771358422E-2</v>
      </c>
      <c r="AQ546" s="7">
        <v>2.3164967374142975E-2</v>
      </c>
      <c r="AR546" s="7">
        <v>1.1825962308399385E-2</v>
      </c>
      <c r="AS546" s="7">
        <v>-0.22500826656283268</v>
      </c>
      <c r="AT546" s="8">
        <v>-1.3061890645674485</v>
      </c>
    </row>
    <row r="547" spans="1:46" x14ac:dyDescent="0.3">
      <c r="A547" t="str">
        <f t="shared" si="23"/>
        <v>202312 &amp; Segm SDC &gt; Les Pragmatiques</v>
      </c>
      <c r="B547">
        <v>202312</v>
      </c>
      <c r="C547" t="s">
        <v>59</v>
      </c>
      <c r="D547" t="s">
        <v>62</v>
      </c>
      <c r="E547" s="4">
        <v>0</v>
      </c>
      <c r="F547" s="4">
        <v>68368652.486531541</v>
      </c>
      <c r="H547" s="2">
        <v>1344998.4234234232</v>
      </c>
      <c r="I547" s="2">
        <v>795070.5</v>
      </c>
      <c r="J547" s="3">
        <v>85.990679425952209</v>
      </c>
      <c r="K547" s="6">
        <v>1.6916719000685136</v>
      </c>
      <c r="L547" s="3">
        <v>50.831771469674194</v>
      </c>
      <c r="M547" s="53">
        <v>0.20085976092898547</v>
      </c>
      <c r="N547" s="53">
        <v>0.193767739143023</v>
      </c>
      <c r="O547" s="4">
        <v>2682049.5637387396</v>
      </c>
      <c r="P547" s="5">
        <v>3.922922956931317E-2</v>
      </c>
      <c r="V547" s="4">
        <v>0</v>
      </c>
      <c r="W547" s="4">
        <v>64906750.016216196</v>
      </c>
      <c r="Y547" s="2">
        <v>1308063.2882882883</v>
      </c>
      <c r="Z547" s="2">
        <v>780822</v>
      </c>
      <c r="AA547" s="3">
        <v>83.126179867135136</v>
      </c>
      <c r="AB547" s="6">
        <v>1.6752387718177617</v>
      </c>
      <c r="AC547" s="3">
        <v>49.620496651314312</v>
      </c>
      <c r="AD547" s="4">
        <v>2092380.1051801811</v>
      </c>
      <c r="AE547" s="5">
        <v>3.2236710429307036E-2</v>
      </c>
      <c r="AL547" s="7">
        <v>5.333655543453375E-2</v>
      </c>
      <c r="AN547" s="7">
        <v>2.8236504659852946E-2</v>
      </c>
      <c r="AO547" s="7">
        <v>1.8248077026518317E-2</v>
      </c>
      <c r="AP547" s="7">
        <v>3.4459655951898149E-2</v>
      </c>
      <c r="AQ547" s="7">
        <v>9.8094244994824109E-3</v>
      </c>
      <c r="AR547" s="7">
        <v>2.4410775790326467E-2</v>
      </c>
      <c r="AS547" s="7">
        <v>0.28181756130193203</v>
      </c>
      <c r="AT547" s="8">
        <v>0.69925191400061348</v>
      </c>
    </row>
    <row r="548" spans="1:46" x14ac:dyDescent="0.3">
      <c r="A548" t="str">
        <f t="shared" si="23"/>
        <v>202404 &amp; Segm SDC &gt; Les Pragmatiques</v>
      </c>
      <c r="B548">
        <v>202404</v>
      </c>
      <c r="C548" t="s">
        <v>59</v>
      </c>
      <c r="D548" t="s">
        <v>62</v>
      </c>
      <c r="E548" s="4">
        <v>0</v>
      </c>
      <c r="F548" s="4">
        <v>50967380.98612611</v>
      </c>
      <c r="H548" s="2">
        <v>1131908.5585585583</v>
      </c>
      <c r="I548" s="2">
        <v>749848.5</v>
      </c>
      <c r="J548" s="3">
        <v>67.970237969571329</v>
      </c>
      <c r="K548" s="6">
        <v>1.5095163337108206</v>
      </c>
      <c r="L548" s="3">
        <v>45.027825437622887</v>
      </c>
      <c r="M548" s="53">
        <v>0.18740624992906976</v>
      </c>
      <c r="N548" s="53">
        <v>0.18595354202404085</v>
      </c>
      <c r="O548" s="4">
        <v>1411038.5631981974</v>
      </c>
      <c r="P548" s="5">
        <v>2.768512989871498E-2</v>
      </c>
      <c r="V548" s="4">
        <v>0</v>
      </c>
      <c r="W548" s="4">
        <v>54826738.660450436</v>
      </c>
      <c r="Y548" s="2">
        <v>1168078.3783783782</v>
      </c>
      <c r="Z548" s="2">
        <v>765124.5</v>
      </c>
      <c r="AA548" s="3">
        <v>71.657277554764534</v>
      </c>
      <c r="AB548" s="6">
        <v>1.5266513859880035</v>
      </c>
      <c r="AC548" s="3">
        <v>46.937551174061959</v>
      </c>
      <c r="AD548" s="4">
        <v>1186045.3562387393</v>
      </c>
      <c r="AE548" s="5">
        <v>2.1632608198420885E-2</v>
      </c>
      <c r="AL548" s="7">
        <v>-7.039188849487954E-2</v>
      </c>
      <c r="AN548" s="7">
        <v>-3.0965233574508755E-2</v>
      </c>
      <c r="AO548" s="7">
        <v>-1.9965378183550486E-2</v>
      </c>
      <c r="AP548" s="7">
        <v>-5.1453804986874685E-2</v>
      </c>
      <c r="AQ548" s="7">
        <v>-1.1223945711806071E-2</v>
      </c>
      <c r="AR548" s="7">
        <v>-4.0686522595886898E-2</v>
      </c>
      <c r="AS548" s="7">
        <v>0.18970033968428535</v>
      </c>
      <c r="AT548" s="8">
        <v>0.60525217002940956</v>
      </c>
    </row>
    <row r="549" spans="1:46" x14ac:dyDescent="0.3">
      <c r="A549" t="str">
        <f t="shared" si="23"/>
        <v>202412 &amp; Segm SDC &gt; Les Pragmatiques</v>
      </c>
      <c r="B549">
        <v>202412</v>
      </c>
      <c r="C549" t="s">
        <v>59</v>
      </c>
      <c r="D549" t="s">
        <v>62</v>
      </c>
      <c r="E549" s="4">
        <v>0</v>
      </c>
      <c r="F549" s="4">
        <v>61070521.72810813</v>
      </c>
      <c r="H549" s="2">
        <v>1231193.4684684684</v>
      </c>
      <c r="I549" s="2">
        <v>736804.5</v>
      </c>
      <c r="J549" s="3">
        <v>82.885652473767635</v>
      </c>
      <c r="K549" s="6">
        <v>1.6709907016969472</v>
      </c>
      <c r="L549" s="3">
        <v>49.602701193725657</v>
      </c>
      <c r="M549" s="53">
        <v>0.18022272319561611</v>
      </c>
      <c r="N549" s="53">
        <v>0.17306389037991554</v>
      </c>
      <c r="O549" s="4">
        <v>1865254.6014914422</v>
      </c>
      <c r="P549" s="5">
        <v>3.0542634133628923E-2</v>
      </c>
      <c r="V549" s="4">
        <v>0</v>
      </c>
      <c r="W549" s="4">
        <v>68368652.486531541</v>
      </c>
      <c r="Y549" s="2">
        <v>1344998.4234234232</v>
      </c>
      <c r="Z549" s="2">
        <v>795070.5</v>
      </c>
      <c r="AA549" s="3">
        <v>85.990679425952209</v>
      </c>
      <c r="AB549" s="6">
        <v>1.6916719000685136</v>
      </c>
      <c r="AC549" s="3">
        <v>50.831771469674194</v>
      </c>
      <c r="AD549" s="4">
        <v>2682049.5637387396</v>
      </c>
      <c r="AE549" s="5">
        <v>3.922922956931317E-2</v>
      </c>
      <c r="AL549" s="7">
        <v>-0.10674673981414395</v>
      </c>
      <c r="AN549" s="7">
        <v>-8.4613448590733054E-2</v>
      </c>
      <c r="AO549" s="7">
        <v>-7.3284067261959795E-2</v>
      </c>
      <c r="AP549" s="7">
        <v>-3.6108877995996713E-2</v>
      </c>
      <c r="AQ549" s="7">
        <v>-1.2225301118218512E-2</v>
      </c>
      <c r="AR549" s="7">
        <v>-2.4179174567657724E-2</v>
      </c>
      <c r="AS549" s="7">
        <v>-0.30454133782251835</v>
      </c>
      <c r="AT549" s="8">
        <v>-0.86865954356842479</v>
      </c>
    </row>
    <row r="550" spans="1:46" x14ac:dyDescent="0.3">
      <c r="A550" t="str">
        <f t="shared" si="23"/>
        <v>202405 &amp; Segm SDC &gt; Les Pragmatiques</v>
      </c>
      <c r="B550">
        <v>202405</v>
      </c>
      <c r="C550" t="s">
        <v>59</v>
      </c>
      <c r="D550" t="s">
        <v>62</v>
      </c>
      <c r="E550" s="4">
        <v>0</v>
      </c>
      <c r="F550" s="4">
        <v>53596722.277477466</v>
      </c>
      <c r="H550" s="2">
        <v>1153542.3423423423</v>
      </c>
      <c r="I550" s="2">
        <v>757728</v>
      </c>
      <c r="J550" s="3">
        <v>70.733458810387717</v>
      </c>
      <c r="K550" s="6">
        <v>1.5223699564254485</v>
      </c>
      <c r="L550" s="3">
        <v>46.462726429829928</v>
      </c>
      <c r="M550" s="53">
        <v>0.18818026219584463</v>
      </c>
      <c r="N550" s="53">
        <v>0.18709620907136165</v>
      </c>
      <c r="O550" s="4">
        <v>1066911.8174099086</v>
      </c>
      <c r="P550" s="5">
        <v>1.9906288520524857E-2</v>
      </c>
      <c r="V550" s="4">
        <v>0</v>
      </c>
      <c r="W550" s="4">
        <v>53243204.086081065</v>
      </c>
      <c r="Y550" s="2">
        <v>1148333.7837837837</v>
      </c>
      <c r="Z550" s="2">
        <v>760631.25</v>
      </c>
      <c r="AA550" s="3">
        <v>69.998707108182927</v>
      </c>
      <c r="AB550" s="6">
        <v>1.5097115504836065</v>
      </c>
      <c r="AC550" s="3">
        <v>46.365616720465717</v>
      </c>
      <c r="AD550" s="4">
        <v>917891.28155405424</v>
      </c>
      <c r="AE550" s="5">
        <v>1.7239595124103568E-2</v>
      </c>
      <c r="AL550" s="7">
        <v>6.6396866504285779E-3</v>
      </c>
      <c r="AN550" s="7">
        <v>4.5357531338983126E-3</v>
      </c>
      <c r="AO550" s="7">
        <v>-3.8168955061995691E-3</v>
      </c>
      <c r="AP550" s="7">
        <v>1.0496646760478567E-2</v>
      </c>
      <c r="AQ550" s="7">
        <v>8.3846519805634845E-3</v>
      </c>
      <c r="AR550" s="7">
        <v>2.0944336823918164E-3</v>
      </c>
      <c r="AS550" s="7">
        <v>0.16235096557791917</v>
      </c>
      <c r="AT550" s="8">
        <v>0.26666933964212891</v>
      </c>
    </row>
    <row r="551" spans="1:46" x14ac:dyDescent="0.3">
      <c r="A551" t="str">
        <f t="shared" si="23"/>
        <v>202402 &amp; Segm SDC &gt; Les Pragmatiques</v>
      </c>
      <c r="B551">
        <v>202402</v>
      </c>
      <c r="C551" t="s">
        <v>59</v>
      </c>
      <c r="D551" t="s">
        <v>62</v>
      </c>
      <c r="E551" s="4">
        <v>0</v>
      </c>
      <c r="F551" s="4">
        <v>48110216.395540558</v>
      </c>
      <c r="H551" s="2">
        <v>1080080.6306306305</v>
      </c>
      <c r="I551" s="2">
        <v>730246.5</v>
      </c>
      <c r="J551" s="3">
        <v>65.88215951126169</v>
      </c>
      <c r="K551" s="6">
        <v>1.4790630706626196</v>
      </c>
      <c r="L551" s="3">
        <v>44.543171158851607</v>
      </c>
      <c r="M551" s="53">
        <v>0.18609751110621275</v>
      </c>
      <c r="N551" s="53">
        <v>0.18443778377334993</v>
      </c>
      <c r="O551" s="4">
        <v>1288237.6216441439</v>
      </c>
      <c r="P551" s="5">
        <v>2.6776799568990373E-2</v>
      </c>
      <c r="V551" s="4">
        <v>0</v>
      </c>
      <c r="W551" s="4">
        <v>45975399.769144148</v>
      </c>
      <c r="Y551" s="2">
        <v>1045934.9099099098</v>
      </c>
      <c r="Z551" s="2">
        <v>729887.25</v>
      </c>
      <c r="AA551" s="3">
        <v>62.989728576768741</v>
      </c>
      <c r="AB551" s="6">
        <v>1.4330088789876927</v>
      </c>
      <c r="AC551" s="3">
        <v>43.956272358386215</v>
      </c>
      <c r="AD551" s="4">
        <v>1020653.3621141894</v>
      </c>
      <c r="AE551" s="5">
        <v>2.2199988847061401E-2</v>
      </c>
      <c r="AL551" s="7">
        <v>4.6433889365093961E-2</v>
      </c>
      <c r="AN551" s="7">
        <v>3.2646123957810858E-2</v>
      </c>
      <c r="AO551" s="7">
        <v>4.9219930886579277E-4</v>
      </c>
      <c r="AP551" s="7">
        <v>4.5919088712500056E-2</v>
      </c>
      <c r="AQ551" s="7">
        <v>3.2138106295238389E-2</v>
      </c>
      <c r="AR551" s="7">
        <v>1.33518783321811E-2</v>
      </c>
      <c r="AS551" s="7">
        <v>0.26216957633459259</v>
      </c>
      <c r="AT551" s="8">
        <v>0.45768107219289722</v>
      </c>
    </row>
    <row r="552" spans="1:46" x14ac:dyDescent="0.3">
      <c r="A552" t="str">
        <f t="shared" si="23"/>
        <v>202410 &amp; Segm SDC &gt; Les Pragmatiques</v>
      </c>
      <c r="B552">
        <v>202410</v>
      </c>
      <c r="C552" t="s">
        <v>59</v>
      </c>
      <c r="D552" t="s">
        <v>62</v>
      </c>
      <c r="E552" s="4">
        <v>0</v>
      </c>
      <c r="F552" s="4">
        <v>52035498.704414405</v>
      </c>
      <c r="H552" s="2">
        <v>1155018.2432432431</v>
      </c>
      <c r="I552" s="2">
        <v>728285.25</v>
      </c>
      <c r="J552" s="3">
        <v>71.449337611072593</v>
      </c>
      <c r="K552" s="6">
        <v>1.5859421061229004</v>
      </c>
      <c r="L552" s="3">
        <v>45.051668238850404</v>
      </c>
      <c r="M552" s="53">
        <v>0.18055599618864659</v>
      </c>
      <c r="N552" s="53">
        <v>0.17649190693819539</v>
      </c>
      <c r="O552" s="4">
        <v>1580692.9612387388</v>
      </c>
      <c r="P552" s="5">
        <v>3.0377204035610436E-2</v>
      </c>
      <c r="V552" s="4">
        <v>0</v>
      </c>
      <c r="W552" s="4">
        <v>52640371.633198187</v>
      </c>
      <c r="Y552" s="2">
        <v>1185637.3873873872</v>
      </c>
      <c r="Z552" s="2">
        <v>769501.5</v>
      </c>
      <c r="AA552" s="3">
        <v>68.408406784389882</v>
      </c>
      <c r="AB552" s="6">
        <v>1.5407863238569219</v>
      </c>
      <c r="AC552" s="3">
        <v>44.398373561071608</v>
      </c>
      <c r="AD552" s="4">
        <v>1598388.6617342345</v>
      </c>
      <c r="AE552" s="5">
        <v>3.0364311879709345E-2</v>
      </c>
      <c r="AL552" s="7">
        <v>-1.1490666004384975E-2</v>
      </c>
      <c r="AN552" s="7">
        <v>-2.5825049437429581E-2</v>
      </c>
      <c r="AO552" s="7">
        <v>-5.3562273757750911E-2</v>
      </c>
      <c r="AP552" s="7">
        <v>4.4452589522617325E-2</v>
      </c>
      <c r="AQ552" s="7">
        <v>2.9306972398965625E-2</v>
      </c>
      <c r="AR552" s="7">
        <v>1.4714383104150519E-2</v>
      </c>
      <c r="AS552" s="7">
        <v>-1.1070962225355196E-2</v>
      </c>
      <c r="AT552" s="8">
        <v>1.2892155901091107E-3</v>
      </c>
    </row>
    <row r="553" spans="1:46" x14ac:dyDescent="0.3">
      <c r="A553" t="str">
        <f t="shared" si="23"/>
        <v>202409 &amp; Segm SDC &gt; Les Pragmatiques</v>
      </c>
      <c r="B553">
        <v>202409</v>
      </c>
      <c r="C553" t="s">
        <v>59</v>
      </c>
      <c r="D553" t="s">
        <v>62</v>
      </c>
      <c r="E553" s="4">
        <v>0</v>
      </c>
      <c r="F553" s="4">
        <v>47186928.900630631</v>
      </c>
      <c r="H553" s="2">
        <v>1056688.7387387387</v>
      </c>
      <c r="I553" s="2">
        <v>717562.5</v>
      </c>
      <c r="J553" s="3">
        <v>65.760026340047915</v>
      </c>
      <c r="K553" s="6">
        <v>1.4726086420886524</v>
      </c>
      <c r="L553" s="3">
        <v>44.655466809415273</v>
      </c>
      <c r="M553" s="53">
        <v>0.17951735492343524</v>
      </c>
      <c r="N553" s="53">
        <v>0.17804604353497927</v>
      </c>
      <c r="O553" s="4">
        <v>1602791.2901272515</v>
      </c>
      <c r="P553" s="5">
        <v>3.3966849029368196E-2</v>
      </c>
      <c r="V553" s="4">
        <v>0</v>
      </c>
      <c r="W553" s="4">
        <v>53172327.805900902</v>
      </c>
      <c r="Y553" s="2">
        <v>1173187.3873873872</v>
      </c>
      <c r="Z553" s="2">
        <v>768303</v>
      </c>
      <c r="AA553" s="3">
        <v>69.207497310176976</v>
      </c>
      <c r="AB553" s="6">
        <v>1.5269853005746263</v>
      </c>
      <c r="AC553" s="3">
        <v>45.322962365212817</v>
      </c>
      <c r="AD553" s="4">
        <v>1566979.7290707207</v>
      </c>
      <c r="AE553" s="5">
        <v>2.9469835038834283E-2</v>
      </c>
      <c r="AL553" s="7">
        <v>-0.11256604990323615</v>
      </c>
      <c r="AN553" s="7">
        <v>-9.9300972633266649E-2</v>
      </c>
      <c r="AO553" s="7">
        <v>-6.6042303622398935E-2</v>
      </c>
      <c r="AP553" s="7">
        <v>-4.9813547724143925E-2</v>
      </c>
      <c r="AQ553" s="7">
        <v>-3.5610466234030747E-2</v>
      </c>
      <c r="AR553" s="7">
        <v>-1.4727535910359468E-2</v>
      </c>
      <c r="AS553" s="7">
        <v>2.2853876404494766E-2</v>
      </c>
      <c r="AT553" s="8">
        <v>0.44970139905339129</v>
      </c>
    </row>
    <row r="554" spans="1:46" x14ac:dyDescent="0.3">
      <c r="A554" t="str">
        <f t="shared" si="23"/>
        <v>202406 &amp; Segm SDC &gt; Les Pragmatiques</v>
      </c>
      <c r="B554">
        <v>202406</v>
      </c>
      <c r="C554" t="s">
        <v>59</v>
      </c>
      <c r="D554" t="s">
        <v>62</v>
      </c>
      <c r="E554" s="4">
        <v>0</v>
      </c>
      <c r="F554" s="4">
        <v>50869032.075675681</v>
      </c>
      <c r="H554" s="2">
        <v>1107191.4414414414</v>
      </c>
      <c r="I554" s="2">
        <v>733189.5</v>
      </c>
      <c r="J554" s="3">
        <v>69.380469954460182</v>
      </c>
      <c r="K554" s="6">
        <v>1.5101026971082394</v>
      </c>
      <c r="L554" s="3">
        <v>45.944206369089883</v>
      </c>
      <c r="M554" s="53">
        <v>0.18307333052505032</v>
      </c>
      <c r="N554" s="53">
        <v>0.18158896333433019</v>
      </c>
      <c r="O554" s="4">
        <v>1458197.7436261266</v>
      </c>
      <c r="P554" s="5">
        <v>2.8665726162369832E-2</v>
      </c>
      <c r="V554" s="4">
        <v>0</v>
      </c>
      <c r="W554" s="4">
        <v>55729196.081801824</v>
      </c>
      <c r="Y554" s="2">
        <v>1196084.9099099098</v>
      </c>
      <c r="Z554" s="2">
        <v>768885.75</v>
      </c>
      <c r="AA554" s="3">
        <v>72.480464206550621</v>
      </c>
      <c r="AB554" s="6">
        <v>1.5556081120113225</v>
      </c>
      <c r="AC554" s="3">
        <v>46.593009927697686</v>
      </c>
      <c r="AD554" s="4">
        <v>1234588.0460585584</v>
      </c>
      <c r="AE554" s="5">
        <v>2.2153343899782341E-2</v>
      </c>
      <c r="AL554" s="7">
        <v>-8.7210373517539574E-2</v>
      </c>
      <c r="AN554" s="7">
        <v>-7.4320366164609464E-2</v>
      </c>
      <c r="AO554" s="7">
        <v>-4.6425948198415723E-2</v>
      </c>
      <c r="AP554" s="7">
        <v>-4.2770066196820333E-2</v>
      </c>
      <c r="AQ554" s="7">
        <v>-2.9252492675836517E-2</v>
      </c>
      <c r="AR554" s="7">
        <v>-1.3924911904481085E-2</v>
      </c>
      <c r="AS554" s="7">
        <v>0.18112089962432854</v>
      </c>
      <c r="AT554" s="8">
        <v>0.65123822625874905</v>
      </c>
    </row>
    <row r="555" spans="1:46" x14ac:dyDescent="0.3">
      <c r="A555" t="str">
        <f t="shared" si="23"/>
        <v>202203 &amp; Segm SDC &gt; Non affecté</v>
      </c>
      <c r="B555" s="1">
        <v>202203</v>
      </c>
      <c r="C555" t="s">
        <v>59</v>
      </c>
      <c r="D555" t="s">
        <v>34</v>
      </c>
      <c r="E555" s="4">
        <v>0</v>
      </c>
      <c r="F555" s="4">
        <v>242319399.15045071</v>
      </c>
      <c r="H555" s="2">
        <v>5310265.3153153146</v>
      </c>
      <c r="I555" s="2">
        <v>3690002.25</v>
      </c>
      <c r="J555" s="3">
        <v>65.669173819731597</v>
      </c>
      <c r="K555" s="6">
        <v>1.4390954139161607</v>
      </c>
      <c r="L555" s="3">
        <v>45.632258420606277</v>
      </c>
      <c r="M555" s="53">
        <v>1</v>
      </c>
      <c r="N555" s="53">
        <v>1</v>
      </c>
      <c r="O555" s="4">
        <v>6398631.3769310834</v>
      </c>
      <c r="P555" s="5">
        <v>2.6405774359643058E-2</v>
      </c>
    </row>
    <row r="556" spans="1:46" x14ac:dyDescent="0.3">
      <c r="A556" t="str">
        <f t="shared" si="23"/>
        <v>202208 &amp; Segm SDC &gt; Non affecté</v>
      </c>
      <c r="B556" s="1">
        <v>202208</v>
      </c>
      <c r="C556" t="s">
        <v>59</v>
      </c>
      <c r="D556" t="s">
        <v>34</v>
      </c>
      <c r="E556" s="4">
        <v>0</v>
      </c>
      <c r="F556" s="4">
        <v>250001462.02351347</v>
      </c>
      <c r="H556" s="2">
        <v>5354841.666666666</v>
      </c>
      <c r="I556" s="2">
        <v>3738363.75</v>
      </c>
      <c r="J556" s="3">
        <v>66.874568325116428</v>
      </c>
      <c r="K556" s="6">
        <v>1.4324025228060449</v>
      </c>
      <c r="L556" s="3">
        <v>46.686994235468553</v>
      </c>
      <c r="M556" s="53">
        <v>1</v>
      </c>
      <c r="N556" s="53">
        <v>1</v>
      </c>
      <c r="O556" s="4">
        <v>6334278.4056081576</v>
      </c>
      <c r="P556" s="5">
        <v>2.5336965449475644E-2</v>
      </c>
    </row>
    <row r="557" spans="1:46" x14ac:dyDescent="0.3">
      <c r="A557" t="str">
        <f t="shared" si="23"/>
        <v>202207 &amp; Segm SDC &gt; Non affecté</v>
      </c>
      <c r="B557">
        <v>202207</v>
      </c>
      <c r="C557" t="s">
        <v>59</v>
      </c>
      <c r="D557" t="s">
        <v>34</v>
      </c>
      <c r="E557" s="4">
        <v>0</v>
      </c>
      <c r="F557" s="4">
        <v>250652518.72072074</v>
      </c>
      <c r="H557" s="2">
        <v>5354706.5315315314</v>
      </c>
      <c r="I557" s="2">
        <v>3727943.25</v>
      </c>
      <c r="J557" s="3">
        <v>67.236141194134518</v>
      </c>
      <c r="K557" s="6">
        <v>1.4363701838893421</v>
      </c>
      <c r="L557" s="3">
        <v>46.809758339647068</v>
      </c>
      <c r="M557" s="53">
        <v>1</v>
      </c>
      <c r="N557" s="53">
        <v>1</v>
      </c>
      <c r="O557" s="4">
        <v>4834895.7273560688</v>
      </c>
      <c r="P557" s="5">
        <v>1.9289236557575359E-2</v>
      </c>
    </row>
    <row r="558" spans="1:46" x14ac:dyDescent="0.3">
      <c r="A558" t="str">
        <f t="shared" si="23"/>
        <v>202211 &amp; Segm SDC &gt; Non affecté</v>
      </c>
      <c r="B558">
        <v>202211</v>
      </c>
      <c r="C558" t="s">
        <v>59</v>
      </c>
      <c r="D558" t="s">
        <v>34</v>
      </c>
      <c r="E558" s="4">
        <v>0</v>
      </c>
      <c r="F558" s="4">
        <v>249169521.93112585</v>
      </c>
      <c r="H558" s="2">
        <v>5270052.9279279271</v>
      </c>
      <c r="I558" s="2">
        <v>3766113.75</v>
      </c>
      <c r="J558" s="3">
        <v>66.160912407684407</v>
      </c>
      <c r="K558" s="6">
        <v>1.3993345070705649</v>
      </c>
      <c r="L558" s="3">
        <v>47.280269351885622</v>
      </c>
      <c r="M558" s="53">
        <v>1</v>
      </c>
      <c r="N558" s="53">
        <v>1</v>
      </c>
      <c r="O558" s="4">
        <v>10384547.769527018</v>
      </c>
      <c r="P558" s="5">
        <v>4.1676637210860248E-2</v>
      </c>
    </row>
    <row r="559" spans="1:46" x14ac:dyDescent="0.3">
      <c r="A559" t="str">
        <f t="shared" si="23"/>
        <v>202202 &amp; Segm SDC &gt; Non affecté</v>
      </c>
      <c r="B559">
        <v>202202</v>
      </c>
      <c r="C559" t="s">
        <v>59</v>
      </c>
      <c r="D559" t="s">
        <v>34</v>
      </c>
      <c r="E559" s="4">
        <v>0</v>
      </c>
      <c r="F559" s="4">
        <v>208933185.35959435</v>
      </c>
      <c r="H559" s="2">
        <v>4700363.2882882878</v>
      </c>
      <c r="I559" s="2">
        <v>3591186.75</v>
      </c>
      <c r="J559" s="3">
        <v>58.179426441577938</v>
      </c>
      <c r="K559" s="6">
        <v>1.3088607236280005</v>
      </c>
      <c r="L559" s="3">
        <v>44.450433412282202</v>
      </c>
      <c r="M559" s="53">
        <v>1</v>
      </c>
      <c r="N559" s="53">
        <v>1</v>
      </c>
      <c r="O559" s="4">
        <v>5360731.7924069762</v>
      </c>
      <c r="P559" s="5">
        <v>2.5657636833424213E-2</v>
      </c>
    </row>
    <row r="560" spans="1:46" x14ac:dyDescent="0.3">
      <c r="A560" t="str">
        <f t="shared" si="23"/>
        <v>202209 &amp; Segm SDC &gt; Non affecté</v>
      </c>
      <c r="B560">
        <v>202209</v>
      </c>
      <c r="C560" t="s">
        <v>59</v>
      </c>
      <c r="D560" t="s">
        <v>34</v>
      </c>
      <c r="E560" s="4">
        <v>0</v>
      </c>
      <c r="F560" s="4">
        <v>243415582.41477436</v>
      </c>
      <c r="H560" s="2">
        <v>5288111.7117117113</v>
      </c>
      <c r="I560" s="2">
        <v>3738714</v>
      </c>
      <c r="J560" s="3">
        <v>65.106767304151731</v>
      </c>
      <c r="K560" s="6">
        <v>1.41441996143907</v>
      </c>
      <c r="L560" s="3">
        <v>46.030718654387705</v>
      </c>
      <c r="M560" s="53">
        <v>1</v>
      </c>
      <c r="N560" s="53">
        <v>1</v>
      </c>
      <c r="O560" s="4">
        <v>6906327.21683715</v>
      </c>
      <c r="P560" s="5">
        <v>2.8372576432140376E-2</v>
      </c>
    </row>
    <row r="561" spans="1:46" x14ac:dyDescent="0.3">
      <c r="A561" t="str">
        <f t="shared" si="23"/>
        <v>202204 &amp; Segm SDC &gt; Non affecté</v>
      </c>
      <c r="B561">
        <v>202204</v>
      </c>
      <c r="C561" t="s">
        <v>59</v>
      </c>
      <c r="D561" t="s">
        <v>34</v>
      </c>
      <c r="E561" s="4">
        <v>0</v>
      </c>
      <c r="F561" s="4">
        <v>246988036.99603596</v>
      </c>
      <c r="H561" s="2">
        <v>5305631.3063063063</v>
      </c>
      <c r="I561" s="2">
        <v>3734290.5</v>
      </c>
      <c r="J561" s="3">
        <v>66.140552534955688</v>
      </c>
      <c r="K561" s="6">
        <v>1.4207869758140954</v>
      </c>
      <c r="L561" s="3">
        <v>46.552054362025579</v>
      </c>
      <c r="M561" s="53">
        <v>1</v>
      </c>
      <c r="N561" s="53">
        <v>1</v>
      </c>
      <c r="O561" s="4">
        <v>5799400.0691891778</v>
      </c>
      <c r="P561" s="5">
        <v>2.3480489742433375E-2</v>
      </c>
    </row>
    <row r="562" spans="1:46" x14ac:dyDescent="0.3">
      <c r="A562" t="str">
        <f t="shared" si="23"/>
        <v>202206 &amp; Segm SDC &gt; Non affecté</v>
      </c>
      <c r="B562">
        <v>202206</v>
      </c>
      <c r="C562" t="s">
        <v>59</v>
      </c>
      <c r="D562" t="s">
        <v>34</v>
      </c>
      <c r="E562" s="4">
        <v>0</v>
      </c>
      <c r="F562" s="4">
        <v>241142988.26036048</v>
      </c>
      <c r="H562" s="2">
        <v>5248903.1531531531</v>
      </c>
      <c r="I562" s="2">
        <v>3718068</v>
      </c>
      <c r="J562" s="3">
        <v>64.857067772929511</v>
      </c>
      <c r="K562" s="6">
        <v>1.4117286593879277</v>
      </c>
      <c r="L562" s="3">
        <v>45.941596029543732</v>
      </c>
      <c r="M562" s="53">
        <v>1</v>
      </c>
      <c r="N562" s="53">
        <v>1</v>
      </c>
      <c r="O562" s="4">
        <v>5960292.6580826668</v>
      </c>
      <c r="P562" s="5">
        <v>2.4716840000536852E-2</v>
      </c>
    </row>
    <row r="563" spans="1:46" x14ac:dyDescent="0.3">
      <c r="A563" t="str">
        <f t="shared" si="23"/>
        <v>202201 &amp; Segm SDC &gt; Non affecté</v>
      </c>
      <c r="B563">
        <v>202201</v>
      </c>
      <c r="C563" t="s">
        <v>59</v>
      </c>
      <c r="D563" t="s">
        <v>34</v>
      </c>
      <c r="E563" s="4">
        <v>0</v>
      </c>
      <c r="F563" s="4">
        <v>224643511.30531502</v>
      </c>
      <c r="H563" s="2">
        <v>5000592.1171171162</v>
      </c>
      <c r="I563" s="2">
        <v>3613990.5</v>
      </c>
      <c r="J563" s="3">
        <v>62.159408361841301</v>
      </c>
      <c r="K563" s="6">
        <v>1.3836760547979072</v>
      </c>
      <c r="L563" s="3">
        <v>44.923382280341613</v>
      </c>
      <c r="M563" s="53">
        <v>1</v>
      </c>
      <c r="N563" s="53">
        <v>1</v>
      </c>
      <c r="O563" s="4">
        <v>7469359.2914639805</v>
      </c>
      <c r="P563" s="5">
        <v>3.3249833249411359E-2</v>
      </c>
    </row>
    <row r="564" spans="1:46" x14ac:dyDescent="0.3">
      <c r="A564" t="str">
        <f t="shared" si="23"/>
        <v>202212 &amp; Segm SDC &gt; Non affecté</v>
      </c>
      <c r="B564">
        <v>202212</v>
      </c>
      <c r="C564" t="s">
        <v>59</v>
      </c>
      <c r="D564" t="s">
        <v>34</v>
      </c>
      <c r="E564" s="4">
        <v>0</v>
      </c>
      <c r="F564" s="4">
        <v>6188717.8622972993</v>
      </c>
      <c r="H564" s="2">
        <v>134274.77477477476</v>
      </c>
      <c r="I564" s="2">
        <v>151949.25</v>
      </c>
      <c r="J564" s="3">
        <v>40.728847706041982</v>
      </c>
      <c r="K564" s="6">
        <v>0.88368172119819455</v>
      </c>
      <c r="L564" s="3">
        <v>46.089951539132493</v>
      </c>
      <c r="M564" s="53">
        <v>1.9340005930299029E-2</v>
      </c>
      <c r="N564" s="53">
        <v>3.8629665899408312E-2</v>
      </c>
      <c r="O564" s="4">
        <v>241293.38204954957</v>
      </c>
      <c r="P564" s="5">
        <v>3.89892361258782E-2</v>
      </c>
    </row>
    <row r="565" spans="1:46" x14ac:dyDescent="0.3">
      <c r="A565" t="str">
        <f t="shared" si="23"/>
        <v>202205 &amp; Segm SDC &gt; Non affecté</v>
      </c>
      <c r="B565">
        <v>202205</v>
      </c>
      <c r="C565" t="s">
        <v>59</v>
      </c>
      <c r="D565" t="s">
        <v>34</v>
      </c>
      <c r="E565" s="4">
        <v>0</v>
      </c>
      <c r="F565" s="4">
        <v>237628034.19139633</v>
      </c>
      <c r="H565" s="2">
        <v>5204086.036036036</v>
      </c>
      <c r="I565" s="2">
        <v>3710301.75</v>
      </c>
      <c r="J565" s="3">
        <v>64.045473981030341</v>
      </c>
      <c r="K565" s="6">
        <v>1.4026045283341271</v>
      </c>
      <c r="L565" s="3">
        <v>45.661818914200374</v>
      </c>
      <c r="M565" s="53">
        <v>1</v>
      </c>
      <c r="N565" s="53">
        <v>1</v>
      </c>
      <c r="O565" s="4">
        <v>5635260.8865765836</v>
      </c>
      <c r="P565" s="5">
        <v>2.3714629907840297E-2</v>
      </c>
    </row>
    <row r="566" spans="1:46" x14ac:dyDescent="0.3">
      <c r="A566" t="str">
        <f t="shared" si="23"/>
        <v>202210 &amp; Segm SDC &gt; Non affecté</v>
      </c>
      <c r="B566">
        <v>202210</v>
      </c>
      <c r="C566" t="s">
        <v>59</v>
      </c>
      <c r="D566" t="s">
        <v>34</v>
      </c>
      <c r="E566" s="4">
        <v>0</v>
      </c>
      <c r="F566" s="4">
        <v>249586970.87999979</v>
      </c>
      <c r="H566" s="2">
        <v>5436410.1351351347</v>
      </c>
      <c r="I566" s="2">
        <v>3768668.25</v>
      </c>
      <c r="J566" s="3">
        <v>66.226835137319341</v>
      </c>
      <c r="K566" s="6">
        <v>1.4425281756055697</v>
      </c>
      <c r="L566" s="3">
        <v>45.910254133869856</v>
      </c>
      <c r="M566" s="53">
        <v>1</v>
      </c>
      <c r="N566" s="53">
        <v>1</v>
      </c>
      <c r="O566" s="4">
        <v>7049791.636869384</v>
      </c>
      <c r="P566" s="5">
        <v>2.8245831951936664E-2</v>
      </c>
    </row>
    <row r="567" spans="1:46" x14ac:dyDescent="0.3">
      <c r="A567" t="str">
        <f t="shared" si="23"/>
        <v>202404 &amp; Segm SDC &gt; Non affecté</v>
      </c>
      <c r="B567">
        <v>202404</v>
      </c>
      <c r="C567" t="s">
        <v>59</v>
      </c>
      <c r="D567" t="s">
        <v>34</v>
      </c>
      <c r="E567" s="4">
        <v>0</v>
      </c>
      <c r="F567" s="4">
        <v>6785829.8314864859</v>
      </c>
      <c r="H567" s="2">
        <v>174714.63963963962</v>
      </c>
      <c r="I567" s="2">
        <v>220957.5</v>
      </c>
      <c r="J567" s="3">
        <v>30.711018324729807</v>
      </c>
      <c r="K567" s="6">
        <v>0.79071604104698689</v>
      </c>
      <c r="L567" s="3">
        <v>38.839503349477205</v>
      </c>
      <c r="M567" s="53">
        <v>2.4951388452191931E-2</v>
      </c>
      <c r="N567" s="53">
        <v>5.4794841573700556E-2</v>
      </c>
      <c r="O567" s="4">
        <v>170866.99195945947</v>
      </c>
      <c r="P567" s="5">
        <v>2.5179970055634271E-2</v>
      </c>
      <c r="V567" s="4">
        <v>0</v>
      </c>
      <c r="W567" s="4">
        <v>7095758.0803153161</v>
      </c>
      <c r="Y567" s="2">
        <v>177443.91891891891</v>
      </c>
      <c r="Z567" s="2">
        <v>224957.25</v>
      </c>
      <c r="AA567" s="3">
        <v>31.542695691360542</v>
      </c>
      <c r="AB567" s="6">
        <v>0.78878950964647243</v>
      </c>
      <c r="AC567" s="3">
        <v>39.98873629226847</v>
      </c>
      <c r="AD567" s="4">
        <v>151174.82218468469</v>
      </c>
      <c r="AE567" s="5">
        <v>2.1304957197465065E-2</v>
      </c>
      <c r="AL567" s="7">
        <v>-4.3677961582232805E-2</v>
      </c>
      <c r="AN567" s="7">
        <v>-1.5381080940431668E-2</v>
      </c>
      <c r="AO567" s="7">
        <v>-1.7780044875192913E-2</v>
      </c>
      <c r="AP567" s="7">
        <v>-2.636671813875846E-2</v>
      </c>
      <c r="AQ567" s="7">
        <v>2.4423897338314848E-3</v>
      </c>
      <c r="AR567" s="7">
        <v>-2.873891623860747E-2</v>
      </c>
      <c r="AS567" s="7">
        <v>0.13026090912624055</v>
      </c>
      <c r="AT567" s="8">
        <v>0.38750128581692067</v>
      </c>
    </row>
    <row r="568" spans="1:46" x14ac:dyDescent="0.3">
      <c r="A568" t="str">
        <f t="shared" si="23"/>
        <v>202405 &amp; Segm SDC &gt; Non affecté</v>
      </c>
      <c r="B568">
        <v>202405</v>
      </c>
      <c r="C568" t="s">
        <v>59</v>
      </c>
      <c r="D568" t="s">
        <v>34</v>
      </c>
      <c r="E568" s="4">
        <v>0</v>
      </c>
      <c r="F568" s="4">
        <v>6558000.0357657652</v>
      </c>
      <c r="H568" s="2">
        <v>162756.98198198195</v>
      </c>
      <c r="I568" s="2">
        <v>207661.5</v>
      </c>
      <c r="J568" s="3">
        <v>31.580240130047049</v>
      </c>
      <c r="K568" s="6">
        <v>0.78376098594097587</v>
      </c>
      <c r="L568" s="3">
        <v>40.293202515218489</v>
      </c>
      <c r="M568" s="53">
        <v>2.3025403677145208E-2</v>
      </c>
      <c r="N568" s="53">
        <v>5.1275232563759779E-2</v>
      </c>
      <c r="O568" s="4">
        <v>152964.62698198206</v>
      </c>
      <c r="P568" s="5">
        <v>2.3324889623017618E-2</v>
      </c>
      <c r="V568" s="4">
        <v>0</v>
      </c>
      <c r="W568" s="4">
        <v>6494528.1115315324</v>
      </c>
      <c r="Y568" s="2">
        <v>163818.91891891891</v>
      </c>
      <c r="Z568" s="2">
        <v>204231.75</v>
      </c>
      <c r="AA568" s="3">
        <v>31.799796611112289</v>
      </c>
      <c r="AB568" s="6">
        <v>0.80212268131139697</v>
      </c>
      <c r="AC568" s="3">
        <v>39.644554819373191</v>
      </c>
      <c r="AD568" s="4">
        <v>144375.38846846853</v>
      </c>
      <c r="AE568" s="5">
        <v>2.2230312347423512E-2</v>
      </c>
      <c r="AL568" s="7">
        <v>9.7731387322095298E-3</v>
      </c>
      <c r="AN568" s="7">
        <v>-6.4823827671732781E-3</v>
      </c>
      <c r="AO568" s="7">
        <v>1.6793422178481121E-2</v>
      </c>
      <c r="AP568" s="7">
        <v>-6.9043360166811674E-3</v>
      </c>
      <c r="AQ568" s="7">
        <v>-2.2891380331499178E-2</v>
      </c>
      <c r="AR568" s="7">
        <v>1.6361583546609104E-2</v>
      </c>
      <c r="AS568" s="7">
        <v>5.9492401056911559E-2</v>
      </c>
      <c r="AT568" s="8">
        <v>0.10945772755941059</v>
      </c>
    </row>
    <row r="569" spans="1:46" x14ac:dyDescent="0.3">
      <c r="A569" t="str">
        <f t="shared" si="23"/>
        <v>202412 &amp; Segm SDC &gt; Non affecté</v>
      </c>
      <c r="B569">
        <v>202412</v>
      </c>
      <c r="C569" t="s">
        <v>59</v>
      </c>
      <c r="D569" t="s">
        <v>34</v>
      </c>
      <c r="E569" s="4">
        <v>0</v>
      </c>
      <c r="F569" s="4">
        <v>12675965.283558557</v>
      </c>
      <c r="H569" s="2">
        <v>300710.81081081077</v>
      </c>
      <c r="I569" s="2">
        <v>342672.75</v>
      </c>
      <c r="J569" s="3">
        <v>36.991459879895778</v>
      </c>
      <c r="K569" s="6">
        <v>0.8775451529507694</v>
      </c>
      <c r="L569" s="3">
        <v>42.153340777407287</v>
      </c>
      <c r="M569" s="53">
        <v>3.7407523595537874E-2</v>
      </c>
      <c r="N569" s="53">
        <v>8.0488486758949235E-2</v>
      </c>
      <c r="O569" s="4">
        <v>389943.16513513518</v>
      </c>
      <c r="P569" s="5">
        <v>3.0762403999395099E-2</v>
      </c>
      <c r="V569" s="4">
        <v>0</v>
      </c>
      <c r="W569" s="4">
        <v>8392465.8401351329</v>
      </c>
      <c r="Y569" s="2">
        <v>190704.7297297297</v>
      </c>
      <c r="Z569" s="2">
        <v>220793.25</v>
      </c>
      <c r="AA569" s="3">
        <v>38.010518166362118</v>
      </c>
      <c r="AB569" s="6">
        <v>0.86372536175689119</v>
      </c>
      <c r="AC569" s="3">
        <v>44.007643921727016</v>
      </c>
      <c r="AD569" s="4">
        <v>314288.84468468459</v>
      </c>
      <c r="AE569" s="5">
        <v>3.744892748704045E-2</v>
      </c>
      <c r="AL569" s="7">
        <v>0.51039819821947008</v>
      </c>
      <c r="AN569" s="7">
        <v>0.57683981533643003</v>
      </c>
      <c r="AO569" s="7">
        <v>0.55200736435556785</v>
      </c>
      <c r="AP569" s="7">
        <v>-2.680990251188331E-2</v>
      </c>
      <c r="AQ569" s="7">
        <v>1.6000214658242307E-2</v>
      </c>
      <c r="AR569" s="7">
        <v>-4.2135933194193176E-2</v>
      </c>
      <c r="AS569" s="7">
        <v>0.24071589472528698</v>
      </c>
      <c r="AT569" s="8">
        <v>-0.66865234876453505</v>
      </c>
    </row>
    <row r="570" spans="1:46" x14ac:dyDescent="0.3">
      <c r="A570" t="str">
        <f t="shared" si="23"/>
        <v>202408 &amp; Segm SDC &gt; Non affecté</v>
      </c>
      <c r="B570">
        <v>202408</v>
      </c>
      <c r="C570" t="s">
        <v>59</v>
      </c>
      <c r="D570" t="s">
        <v>34</v>
      </c>
      <c r="E570" s="4">
        <v>0</v>
      </c>
      <c r="F570" s="4">
        <v>16502702.708513509</v>
      </c>
      <c r="H570" s="2">
        <v>377981.53153153148</v>
      </c>
      <c r="I570" s="2">
        <v>384654</v>
      </c>
      <c r="J570" s="3">
        <v>42.902719609086375</v>
      </c>
      <c r="K570" s="6">
        <v>0.9826533235882936</v>
      </c>
      <c r="L570" s="3">
        <v>43.660076834036644</v>
      </c>
      <c r="M570" s="53">
        <v>5.5012609130074948E-2</v>
      </c>
      <c r="N570" s="53">
        <v>9.3874127123379739E-2</v>
      </c>
      <c r="O570" s="4">
        <v>429107.20078490977</v>
      </c>
      <c r="P570" s="5">
        <v>2.6002237837293128E-2</v>
      </c>
      <c r="V570" s="4">
        <v>0</v>
      </c>
      <c r="W570" s="4">
        <v>6258522.6812612582</v>
      </c>
      <c r="Y570" s="2">
        <v>150479.7297297297</v>
      </c>
      <c r="Z570" s="2">
        <v>182289</v>
      </c>
      <c r="AA570" s="3">
        <v>34.332969522358773</v>
      </c>
      <c r="AB570" s="6">
        <v>0.82550087898737556</v>
      </c>
      <c r="AC570" s="3">
        <v>41.59046997560354</v>
      </c>
      <c r="AD570" s="4">
        <v>173039.05592342344</v>
      </c>
      <c r="AE570" s="5">
        <v>2.7648546587763022E-2</v>
      </c>
      <c r="AL570" s="7">
        <v>1.6368367662746532</v>
      </c>
      <c r="AN570" s="7">
        <v>1.5118435035097959</v>
      </c>
      <c r="AO570" s="7">
        <v>1.1101328110856934</v>
      </c>
      <c r="AP570" s="7">
        <v>0.24960701640289806</v>
      </c>
      <c r="AQ570" s="7">
        <v>0.19037223169731043</v>
      </c>
      <c r="AR570" s="7">
        <v>4.9761564599945851E-2</v>
      </c>
      <c r="AS570" s="7">
        <v>1.4798286057155012</v>
      </c>
      <c r="AT570" s="8">
        <v>-0.16463087504698937</v>
      </c>
    </row>
    <row r="571" spans="1:46" x14ac:dyDescent="0.3">
      <c r="A571" t="str">
        <f t="shared" si="23"/>
        <v>202401 &amp; Segm SDC &gt; Non affecté</v>
      </c>
      <c r="B571">
        <v>202401</v>
      </c>
      <c r="C571" t="s">
        <v>59</v>
      </c>
      <c r="D571" t="s">
        <v>34</v>
      </c>
      <c r="E571" s="4">
        <v>0</v>
      </c>
      <c r="F571" s="4">
        <v>6789940.3854954941</v>
      </c>
      <c r="H571" s="2">
        <v>171668.24324324323</v>
      </c>
      <c r="I571" s="2">
        <v>204265.5</v>
      </c>
      <c r="J571" s="3">
        <v>33.240759626542385</v>
      </c>
      <c r="K571" s="6">
        <v>0.84041721799933533</v>
      </c>
      <c r="L571" s="3">
        <v>39.552687539736574</v>
      </c>
      <c r="M571" s="53">
        <v>2.531052076479989E-2</v>
      </c>
      <c r="N571" s="53">
        <v>5.1839479842666111E-2</v>
      </c>
      <c r="O571" s="4">
        <v>281044.24581081077</v>
      </c>
      <c r="P571" s="5">
        <v>4.1391268531778373E-2</v>
      </c>
      <c r="V571" s="4">
        <v>0</v>
      </c>
      <c r="W571" s="4">
        <v>6854991.7152252216</v>
      </c>
      <c r="Y571" s="2">
        <v>165958.78378378376</v>
      </c>
      <c r="Z571" s="2">
        <v>180669</v>
      </c>
      <c r="AA571" s="3">
        <v>37.942268542058798</v>
      </c>
      <c r="AB571" s="6">
        <v>0.91857919058490256</v>
      </c>
      <c r="AC571" s="3">
        <v>41.305386548000477</v>
      </c>
      <c r="AD571" s="4">
        <v>260257.19524774782</v>
      </c>
      <c r="AE571" s="5">
        <v>3.7966084578877866E-2</v>
      </c>
      <c r="AL571" s="7">
        <v>-9.4896292267203641E-3</v>
      </c>
      <c r="AN571" s="7">
        <v>3.440287599900671E-2</v>
      </c>
      <c r="AO571" s="7">
        <v>0.13060624678279065</v>
      </c>
      <c r="AP571" s="7">
        <v>-0.12391217225993789</v>
      </c>
      <c r="AQ571" s="7">
        <v>-8.5090075397634246E-2</v>
      </c>
      <c r="AR571" s="7">
        <v>-4.2432698365553634E-2</v>
      </c>
      <c r="AS571" s="7">
        <v>7.9871184899518388E-2</v>
      </c>
      <c r="AT571" s="8">
        <v>0.34251839529005068</v>
      </c>
    </row>
    <row r="572" spans="1:46" x14ac:dyDescent="0.3">
      <c r="A572" t="str">
        <f t="shared" si="23"/>
        <v>202308 &amp; Segm SDC &gt; Non affecté</v>
      </c>
      <c r="B572">
        <v>202308</v>
      </c>
      <c r="C572" t="s">
        <v>59</v>
      </c>
      <c r="D572" t="s">
        <v>34</v>
      </c>
      <c r="E572" s="4">
        <v>0</v>
      </c>
      <c r="F572" s="4">
        <v>6258522.6812612582</v>
      </c>
      <c r="H572" s="2">
        <v>150479.7297297297</v>
      </c>
      <c r="I572" s="2">
        <v>182289</v>
      </c>
      <c r="J572" s="3">
        <v>34.332969522358773</v>
      </c>
      <c r="K572" s="6">
        <v>0.82550087898737556</v>
      </c>
      <c r="L572" s="3">
        <v>41.59046997560354</v>
      </c>
      <c r="M572" s="53">
        <v>2.2672122694889312E-2</v>
      </c>
      <c r="N572" s="53">
        <v>4.6563630435140779E-2</v>
      </c>
      <c r="O572" s="4">
        <v>173039.05592342344</v>
      </c>
      <c r="P572" s="5">
        <v>2.7648546587763022E-2</v>
      </c>
      <c r="V572" s="4">
        <v>0</v>
      </c>
      <c r="W572" s="4">
        <v>250001462.02351347</v>
      </c>
      <c r="Y572" s="2">
        <v>5354841.666666666</v>
      </c>
      <c r="Z572" s="2">
        <v>3738363.75</v>
      </c>
      <c r="AA572" s="3">
        <v>66.874568325116428</v>
      </c>
      <c r="AB572" s="6">
        <v>1.4324025228060449</v>
      </c>
      <c r="AC572" s="3">
        <v>46.686994235468553</v>
      </c>
      <c r="AD572" s="4">
        <v>6334278.4056081576</v>
      </c>
      <c r="AE572" s="5">
        <v>2.5336965449475644E-2</v>
      </c>
      <c r="AL572" s="7">
        <v>-0.97496605567581596</v>
      </c>
      <c r="AN572" s="7">
        <v>-0.97189837924313427</v>
      </c>
      <c r="AO572" s="7">
        <v>-0.95123829242138358</v>
      </c>
      <c r="AP572" s="7">
        <v>-0.48660648760458369</v>
      </c>
      <c r="AQ572" s="7">
        <v>-0.42369490011073307</v>
      </c>
      <c r="AR572" s="7">
        <v>-0.10916368344812255</v>
      </c>
      <c r="AS572" s="7">
        <v>-0.97268212022852985</v>
      </c>
      <c r="AT572" s="8">
        <v>0.2311581138287378</v>
      </c>
    </row>
    <row r="573" spans="1:46" x14ac:dyDescent="0.3">
      <c r="A573" t="str">
        <f t="shared" si="23"/>
        <v>202301 &amp; Segm SDC &gt; Non affecté</v>
      </c>
      <c r="B573">
        <v>202301</v>
      </c>
      <c r="C573" t="s">
        <v>59</v>
      </c>
      <c r="D573" t="s">
        <v>34</v>
      </c>
      <c r="E573" s="4">
        <v>0</v>
      </c>
      <c r="F573" s="4">
        <v>6854991.7152252216</v>
      </c>
      <c r="H573" s="2">
        <v>165958.78378378376</v>
      </c>
      <c r="I573" s="2">
        <v>180669</v>
      </c>
      <c r="J573" s="3">
        <v>37.942268542058798</v>
      </c>
      <c r="K573" s="6">
        <v>0.91857919058490256</v>
      </c>
      <c r="L573" s="3">
        <v>41.305386548000477</v>
      </c>
      <c r="M573" s="53">
        <v>2.7803744637577062E-2</v>
      </c>
      <c r="N573" s="53">
        <v>4.7909588878719281E-2</v>
      </c>
      <c r="O573" s="4">
        <v>260257.19524774782</v>
      </c>
      <c r="P573" s="5">
        <v>3.7966084578877866E-2</v>
      </c>
      <c r="V573" s="4">
        <v>0</v>
      </c>
      <c r="W573" s="4">
        <v>224643511.30531502</v>
      </c>
      <c r="Y573" s="2">
        <v>5000592.1171171162</v>
      </c>
      <c r="Z573" s="2">
        <v>3613990.5</v>
      </c>
      <c r="AA573" s="3">
        <v>62.159408361841301</v>
      </c>
      <c r="AB573" s="6">
        <v>1.3836760547979072</v>
      </c>
      <c r="AC573" s="3">
        <v>44.923382280341613</v>
      </c>
      <c r="AD573" s="4">
        <v>7469359.2914639805</v>
      </c>
      <c r="AE573" s="5">
        <v>3.3249833249411359E-2</v>
      </c>
      <c r="AL573" s="7">
        <v>-0.96948502240107648</v>
      </c>
      <c r="AN573" s="7">
        <v>-0.96681217345927817</v>
      </c>
      <c r="AO573" s="7">
        <v>-0.95000844634206982</v>
      </c>
      <c r="AP573" s="7">
        <v>-0.38959733462728763</v>
      </c>
      <c r="AQ573" s="7">
        <v>-0.33613132394701617</v>
      </c>
      <c r="AR573" s="7">
        <v>-8.0537028796346055E-2</v>
      </c>
      <c r="AS573" s="7">
        <v>-0.96515669080945521</v>
      </c>
      <c r="AT573" s="8">
        <v>0.47162513294665076</v>
      </c>
    </row>
    <row r="574" spans="1:46" x14ac:dyDescent="0.3">
      <c r="A574" t="str">
        <f t="shared" si="23"/>
        <v>202309 &amp; Segm SDC &gt; Non affecté</v>
      </c>
      <c r="B574">
        <v>202309</v>
      </c>
      <c r="C574" t="s">
        <v>59</v>
      </c>
      <c r="D574" t="s">
        <v>34</v>
      </c>
      <c r="E574" s="4">
        <v>0</v>
      </c>
      <c r="F574" s="4">
        <v>6137662.9182882905</v>
      </c>
      <c r="H574" s="2">
        <v>153485.13513513512</v>
      </c>
      <c r="I574" s="2">
        <v>185665.5</v>
      </c>
      <c r="J574" s="3">
        <v>33.057638162654293</v>
      </c>
      <c r="K574" s="6">
        <v>0.82667558127457774</v>
      </c>
      <c r="L574" s="3">
        <v>39.988647192996375</v>
      </c>
      <c r="M574" s="53">
        <v>2.287167726497711E-2</v>
      </c>
      <c r="N574" s="53">
        <v>4.7517096664969859E-2</v>
      </c>
      <c r="O574" s="4">
        <v>176572.18927927935</v>
      </c>
      <c r="P574" s="5">
        <v>2.8768635819531596E-2</v>
      </c>
      <c r="V574" s="4">
        <v>0</v>
      </c>
      <c r="W574" s="4">
        <v>243415582.41477436</v>
      </c>
      <c r="Y574" s="2">
        <v>5288111.7117117113</v>
      </c>
      <c r="Z574" s="2">
        <v>3738714</v>
      </c>
      <c r="AA574" s="3">
        <v>65.106767304151731</v>
      </c>
      <c r="AB574" s="6">
        <v>1.41441996143907</v>
      </c>
      <c r="AC574" s="3">
        <v>46.030718654387705</v>
      </c>
      <c r="AD574" s="4">
        <v>6906327.21683715</v>
      </c>
      <c r="AE574" s="5">
        <v>2.8372576432140376E-2</v>
      </c>
      <c r="AL574" s="7">
        <v>-0.974785250568594</v>
      </c>
      <c r="AN574" s="7">
        <v>-0.97097543631780547</v>
      </c>
      <c r="AO574" s="7">
        <v>-0.95033974248899489</v>
      </c>
      <c r="AP574" s="7">
        <v>-0.4922549600992665</v>
      </c>
      <c r="AQ574" s="7">
        <v>-0.41553739072411344</v>
      </c>
      <c r="AR574" s="7">
        <v>-0.13126172343206277</v>
      </c>
      <c r="AS574" s="7">
        <v>-0.97443327202209473</v>
      </c>
      <c r="AT574" s="8">
        <v>3.9605938739122049E-2</v>
      </c>
    </row>
    <row r="575" spans="1:46" x14ac:dyDescent="0.3">
      <c r="A575" t="str">
        <f t="shared" si="23"/>
        <v>202304 &amp; Segm SDC &gt; Non affecté</v>
      </c>
      <c r="B575">
        <v>202304</v>
      </c>
      <c r="C575" t="s">
        <v>59</v>
      </c>
      <c r="D575" t="s">
        <v>34</v>
      </c>
      <c r="E575" s="4">
        <v>0</v>
      </c>
      <c r="F575" s="4">
        <v>7095758.0803153161</v>
      </c>
      <c r="H575" s="2">
        <v>177443.91891891891</v>
      </c>
      <c r="I575" s="2">
        <v>224957.25</v>
      </c>
      <c r="J575" s="3">
        <v>31.542695691360542</v>
      </c>
      <c r="K575" s="6">
        <v>0.78878950964647243</v>
      </c>
      <c r="L575" s="3">
        <v>39.98873629226847</v>
      </c>
      <c r="M575" s="53">
        <v>2.5787511289204059E-2</v>
      </c>
      <c r="N575" s="53">
        <v>5.7170113408939294E-2</v>
      </c>
      <c r="O575" s="4">
        <v>151174.82218468469</v>
      </c>
      <c r="P575" s="5">
        <v>2.1304957197465065E-2</v>
      </c>
      <c r="V575" s="4">
        <v>0</v>
      </c>
      <c r="W575" s="4">
        <v>246988036.99603596</v>
      </c>
      <c r="Y575" s="2">
        <v>5305631.3063063063</v>
      </c>
      <c r="Z575" s="2">
        <v>3734290.5</v>
      </c>
      <c r="AA575" s="3">
        <v>66.140552534955688</v>
      </c>
      <c r="AB575" s="6">
        <v>1.4207869758140954</v>
      </c>
      <c r="AC575" s="3">
        <v>46.552054362025579</v>
      </c>
      <c r="AD575" s="4">
        <v>5799400.0691891778</v>
      </c>
      <c r="AE575" s="5">
        <v>2.3480489742433375E-2</v>
      </c>
      <c r="AL575" s="7">
        <v>-0.97127084304723144</v>
      </c>
      <c r="AN575" s="7">
        <v>-0.96655555038134522</v>
      </c>
      <c r="AO575" s="7">
        <v>-0.93975903856435383</v>
      </c>
      <c r="AP575" s="7">
        <v>-0.52309597542763142</v>
      </c>
      <c r="AQ575" s="7">
        <v>-0.44482211402979344</v>
      </c>
      <c r="AR575" s="7">
        <v>-0.14098879543995113</v>
      </c>
      <c r="AS575" s="7">
        <v>-0.97393267917696513</v>
      </c>
      <c r="AT575" s="8">
        <v>-0.21755325449683111</v>
      </c>
    </row>
    <row r="576" spans="1:46" x14ac:dyDescent="0.3">
      <c r="A576" t="str">
        <f t="shared" si="23"/>
        <v>202305 &amp; Segm SDC &gt; Non affecté</v>
      </c>
      <c r="B576">
        <v>202305</v>
      </c>
      <c r="C576" t="s">
        <v>59</v>
      </c>
      <c r="D576" t="s">
        <v>34</v>
      </c>
      <c r="E576" s="4">
        <v>0</v>
      </c>
      <c r="F576" s="4">
        <v>6494528.1115315324</v>
      </c>
      <c r="H576" s="2">
        <v>163818.91891891891</v>
      </c>
      <c r="I576" s="2">
        <v>204231.75</v>
      </c>
      <c r="J576" s="3">
        <v>31.799796611112289</v>
      </c>
      <c r="K576" s="6">
        <v>0.80212268131139697</v>
      </c>
      <c r="L576" s="3">
        <v>39.644554819373191</v>
      </c>
      <c r="M576" s="53">
        <v>2.4192319365072608E-2</v>
      </c>
      <c r="N576" s="53">
        <v>5.251156257520688E-2</v>
      </c>
      <c r="O576" s="4">
        <v>144375.38846846853</v>
      </c>
      <c r="P576" s="5">
        <v>2.2230312347423512E-2</v>
      </c>
      <c r="V576" s="4">
        <v>0</v>
      </c>
      <c r="W576" s="4">
        <v>237628034.19139633</v>
      </c>
      <c r="Y576" s="2">
        <v>5204086.036036036</v>
      </c>
      <c r="Z576" s="2">
        <v>3710301.75</v>
      </c>
      <c r="AA576" s="3">
        <v>64.045473981030341</v>
      </c>
      <c r="AB576" s="6">
        <v>1.4026045283341271</v>
      </c>
      <c r="AC576" s="3">
        <v>45.661818914200374</v>
      </c>
      <c r="AD576" s="4">
        <v>5635260.8865765836</v>
      </c>
      <c r="AE576" s="5">
        <v>2.3714629907840297E-2</v>
      </c>
      <c r="AL576" s="7">
        <v>-0.97266935219309791</v>
      </c>
      <c r="AN576" s="7">
        <v>-0.96852109711781398</v>
      </c>
      <c r="AO576" s="7">
        <v>-0.94495548778478733</v>
      </c>
      <c r="AP576" s="7">
        <v>-0.50348097009117176</v>
      </c>
      <c r="AQ576" s="7">
        <v>-0.42811914184814603</v>
      </c>
      <c r="AR576" s="7">
        <v>-0.1317788961962677</v>
      </c>
      <c r="AS576" s="7">
        <v>-0.9743799991918074</v>
      </c>
      <c r="AT576" s="8">
        <v>-0.14843175604167846</v>
      </c>
    </row>
    <row r="577" spans="1:46" x14ac:dyDescent="0.3">
      <c r="A577" t="str">
        <f t="shared" si="23"/>
        <v>202402 &amp; Segm SDC &gt; Non affecté</v>
      </c>
      <c r="B577">
        <v>202402</v>
      </c>
      <c r="C577" t="s">
        <v>59</v>
      </c>
      <c r="D577" t="s">
        <v>34</v>
      </c>
      <c r="E577" s="4">
        <v>0</v>
      </c>
      <c r="F577" s="4">
        <v>6937086.7302702684</v>
      </c>
      <c r="H577" s="2">
        <v>181246.6216216216</v>
      </c>
      <c r="I577" s="2">
        <v>235763.25</v>
      </c>
      <c r="J577" s="3">
        <v>29.423952758838659</v>
      </c>
      <c r="K577" s="6">
        <v>0.76876536789182193</v>
      </c>
      <c r="L577" s="3">
        <v>38.274295367294819</v>
      </c>
      <c r="M577" s="53">
        <v>2.6833688799431293E-2</v>
      </c>
      <c r="N577" s="53">
        <v>5.9546538497893854E-2</v>
      </c>
      <c r="O577" s="4">
        <v>189440.05518018006</v>
      </c>
      <c r="P577" s="5">
        <v>2.7308301387317307E-2</v>
      </c>
      <c r="V577" s="4">
        <v>0</v>
      </c>
      <c r="W577" s="4">
        <v>6291409.3291891869</v>
      </c>
      <c r="Y577" s="2">
        <v>166832.20720720719</v>
      </c>
      <c r="Z577" s="2">
        <v>213864</v>
      </c>
      <c r="AA577" s="3">
        <v>29.417804442024778</v>
      </c>
      <c r="AB577" s="6">
        <v>0.78008550858118797</v>
      </c>
      <c r="AC577" s="3">
        <v>37.710999779408283</v>
      </c>
      <c r="AD577" s="4">
        <v>174880.29005878372</v>
      </c>
      <c r="AE577" s="5">
        <v>2.7796679711717572E-2</v>
      </c>
      <c r="AL577" s="7">
        <v>0.10262842032633945</v>
      </c>
      <c r="AN577" s="7">
        <v>8.6400669605189329E-2</v>
      </c>
      <c r="AO577" s="7">
        <v>0.10239801930198622</v>
      </c>
      <c r="AP577" s="7">
        <v>2.0899985333699966E-4</v>
      </c>
      <c r="AQ577" s="7">
        <v>-1.4511410050361051E-2</v>
      </c>
      <c r="AR577" s="7">
        <v>1.4937169292290164E-2</v>
      </c>
      <c r="AS577" s="7">
        <v>8.3255609402879349E-2</v>
      </c>
      <c r="AT577" s="8">
        <v>-4.8837832440026471E-2</v>
      </c>
    </row>
    <row r="578" spans="1:46" x14ac:dyDescent="0.3">
      <c r="A578" t="str">
        <f t="shared" ref="A578:A641" si="24">_xlfn.CONCAT(B578," &amp; ",C578," &gt; ",D578)</f>
        <v>202411 &amp; Segm SDC &gt; Non affecté</v>
      </c>
      <c r="B578">
        <v>202411</v>
      </c>
      <c r="C578" t="s">
        <v>59</v>
      </c>
      <c r="D578" t="s">
        <v>34</v>
      </c>
      <c r="E578" s="4">
        <v>0</v>
      </c>
      <c r="F578" s="4">
        <v>8679438.1477027033</v>
      </c>
      <c r="H578" s="2">
        <v>221250.22522522521</v>
      </c>
      <c r="I578" s="2">
        <v>266472</v>
      </c>
      <c r="J578" s="3">
        <v>32.571670373257618</v>
      </c>
      <c r="K578" s="6">
        <v>0.83029445955006609</v>
      </c>
      <c r="L578" s="3">
        <v>39.229059038775354</v>
      </c>
      <c r="M578" s="53">
        <v>2.9429224132670878E-2</v>
      </c>
      <c r="N578" s="53">
        <v>6.4687011837874647E-2</v>
      </c>
      <c r="O578" s="4">
        <v>459092.62740990974</v>
      </c>
      <c r="P578" s="5">
        <v>5.2894279514097767E-2</v>
      </c>
      <c r="V578" s="4">
        <v>0</v>
      </c>
      <c r="W578" s="4">
        <v>7138771.6349999988</v>
      </c>
      <c r="Y578" s="2">
        <v>173345.27027027027</v>
      </c>
      <c r="Z578" s="2">
        <v>205482.75</v>
      </c>
      <c r="AA578" s="3">
        <v>34.741464356497076</v>
      </c>
      <c r="AB578" s="6">
        <v>0.84360010886690129</v>
      </c>
      <c r="AC578" s="3">
        <v>41.182384866166956</v>
      </c>
      <c r="AD578" s="4">
        <v>462476.25342342327</v>
      </c>
      <c r="AE578" s="5">
        <v>6.4783729900532577E-2</v>
      </c>
      <c r="AL578" s="7">
        <v>0.21581675272383261</v>
      </c>
      <c r="AN578" s="7">
        <v>0.27635570835168566</v>
      </c>
      <c r="AO578" s="7">
        <v>0.29680958620614128</v>
      </c>
      <c r="AP578" s="7">
        <v>-6.2455455560947892E-2</v>
      </c>
      <c r="AQ578" s="7">
        <v>-1.5772460407463607E-2</v>
      </c>
      <c r="AR578" s="7">
        <v>-4.7431100305129203E-2</v>
      </c>
      <c r="AS578" s="7">
        <v>-7.3163237862845509E-3</v>
      </c>
      <c r="AT578" s="8">
        <v>-1.188945038643481</v>
      </c>
    </row>
    <row r="579" spans="1:46" x14ac:dyDescent="0.3">
      <c r="A579" t="str">
        <f t="shared" si="24"/>
        <v>202306 &amp; Segm SDC &gt; Non affecté</v>
      </c>
      <c r="B579">
        <v>202306</v>
      </c>
      <c r="C579" t="s">
        <v>59</v>
      </c>
      <c r="D579" t="s">
        <v>34</v>
      </c>
      <c r="E579" s="4">
        <v>0</v>
      </c>
      <c r="F579" s="4">
        <v>5970321.4646846848</v>
      </c>
      <c r="H579" s="2">
        <v>154415.3153153153</v>
      </c>
      <c r="I579" s="2">
        <v>192769.5</v>
      </c>
      <c r="J579" s="3">
        <v>30.9712971434002</v>
      </c>
      <c r="K579" s="6">
        <v>0.8010360317130838</v>
      </c>
      <c r="L579" s="3">
        <v>38.664049951867263</v>
      </c>
      <c r="M579" s="53">
        <v>2.1485714578270608E-2</v>
      </c>
      <c r="N579" s="53">
        <v>4.9270345492037321E-2</v>
      </c>
      <c r="O579" s="4">
        <v>148339.69581081084</v>
      </c>
      <c r="P579" s="5">
        <v>2.484618235186524E-2</v>
      </c>
      <c r="V579" s="4">
        <v>0</v>
      </c>
      <c r="W579" s="4">
        <v>241142988.26036048</v>
      </c>
      <c r="Y579" s="2">
        <v>5248903.1531531531</v>
      </c>
      <c r="Z579" s="2">
        <v>3718068</v>
      </c>
      <c r="AA579" s="3">
        <v>64.857067772929511</v>
      </c>
      <c r="AB579" s="6">
        <v>1.4117286593879277</v>
      </c>
      <c r="AC579" s="3">
        <v>45.941596029543732</v>
      </c>
      <c r="AD579" s="4">
        <v>5960292.6580826668</v>
      </c>
      <c r="AE579" s="5">
        <v>2.4716840000536852E-2</v>
      </c>
      <c r="AL579" s="7">
        <v>-0.97524157136910583</v>
      </c>
      <c r="AN579" s="7">
        <v>-0.97058141276191123</v>
      </c>
      <c r="AO579" s="7">
        <v>-0.94815331510881462</v>
      </c>
      <c r="AP579" s="7">
        <v>-0.52246843394410725</v>
      </c>
      <c r="AQ579" s="7">
        <v>-0.43258498976681337</v>
      </c>
      <c r="AR579" s="7">
        <v>-0.15840864720930647</v>
      </c>
      <c r="AS579" s="7">
        <v>-0.97511201138594272</v>
      </c>
      <c r="AT579" s="8">
        <v>1.2934235132838756E-2</v>
      </c>
    </row>
    <row r="580" spans="1:46" x14ac:dyDescent="0.3">
      <c r="A580" t="str">
        <f t="shared" si="24"/>
        <v>202302 &amp; Segm SDC &gt; Non affecté</v>
      </c>
      <c r="B580">
        <v>202302</v>
      </c>
      <c r="C580" t="s">
        <v>59</v>
      </c>
      <c r="D580" t="s">
        <v>34</v>
      </c>
      <c r="E580" s="4">
        <v>0</v>
      </c>
      <c r="F580" s="4">
        <v>6291409.3291891869</v>
      </c>
      <c r="H580" s="2">
        <v>166832.20720720719</v>
      </c>
      <c r="I580" s="2">
        <v>213864</v>
      </c>
      <c r="J580" s="3">
        <v>29.417804442024778</v>
      </c>
      <c r="K580" s="6">
        <v>0.78008550858118797</v>
      </c>
      <c r="L580" s="3">
        <v>37.710999779408283</v>
      </c>
      <c r="M580" s="53">
        <v>2.7226386063619414E-2</v>
      </c>
      <c r="N580" s="53">
        <v>5.6910444165787354E-2</v>
      </c>
      <c r="O580" s="4">
        <v>174880.29005878372</v>
      </c>
      <c r="P580" s="5">
        <v>2.7796679711717572E-2</v>
      </c>
      <c r="V580" s="4">
        <v>0</v>
      </c>
      <c r="W580" s="4">
        <v>208933185.35959435</v>
      </c>
      <c r="Y580" s="2">
        <v>4700363.2882882878</v>
      </c>
      <c r="Z580" s="2">
        <v>3591186.75</v>
      </c>
      <c r="AA580" s="3">
        <v>58.179426441577938</v>
      </c>
      <c r="AB580" s="6">
        <v>1.3088607236280005</v>
      </c>
      <c r="AC580" s="3">
        <v>44.450433412282202</v>
      </c>
      <c r="AD580" s="4">
        <v>5360731.7924069762</v>
      </c>
      <c r="AE580" s="5">
        <v>2.5657636833424213E-2</v>
      </c>
      <c r="AL580" s="7">
        <v>-0.96988793657474248</v>
      </c>
      <c r="AN580" s="7">
        <v>-0.96450652918192592</v>
      </c>
      <c r="AO580" s="7">
        <v>-0.94044754147079657</v>
      </c>
      <c r="AP580" s="7">
        <v>-0.49436070031447854</v>
      </c>
      <c r="AQ580" s="7">
        <v>-0.40399654867869583</v>
      </c>
      <c r="AR580" s="7">
        <v>-0.1516168261030213</v>
      </c>
      <c r="AS580" s="7">
        <v>-0.96737753410709959</v>
      </c>
      <c r="AT580" s="8">
        <v>0.2139042878293359</v>
      </c>
    </row>
    <row r="581" spans="1:46" x14ac:dyDescent="0.3">
      <c r="A581" t="str">
        <f t="shared" si="24"/>
        <v>202310 &amp; Segm SDC &gt; Non affecté</v>
      </c>
      <c r="B581">
        <v>202310</v>
      </c>
      <c r="C581" t="s">
        <v>59</v>
      </c>
      <c r="D581" t="s">
        <v>34</v>
      </c>
      <c r="E581" s="4">
        <v>0</v>
      </c>
      <c r="F581" s="4">
        <v>6412563.9075225191</v>
      </c>
      <c r="H581" s="2">
        <v>164160.58558558556</v>
      </c>
      <c r="I581" s="2">
        <v>193494</v>
      </c>
      <c r="J581" s="3">
        <v>33.140892779737456</v>
      </c>
      <c r="K581" s="6">
        <v>0.84840142632632309</v>
      </c>
      <c r="L581" s="3">
        <v>39.062749956988377</v>
      </c>
      <c r="M581" s="53">
        <v>2.4207375932563467E-2</v>
      </c>
      <c r="N581" s="53">
        <v>4.9250425370787977E-2</v>
      </c>
      <c r="O581" s="4">
        <v>174968.33155405405</v>
      </c>
      <c r="P581" s="5">
        <v>2.7285237866994251E-2</v>
      </c>
      <c r="V581" s="4">
        <v>0</v>
      </c>
      <c r="W581" s="4">
        <v>249586970.87999979</v>
      </c>
      <c r="Y581" s="2">
        <v>5436410.1351351347</v>
      </c>
      <c r="Z581" s="2">
        <v>3768668.25</v>
      </c>
      <c r="AA581" s="3">
        <v>66.226835137319341</v>
      </c>
      <c r="AB581" s="6">
        <v>1.4425281756055697</v>
      </c>
      <c r="AC581" s="3">
        <v>45.910254133869856</v>
      </c>
      <c r="AD581" s="4">
        <v>7049791.636869384</v>
      </c>
      <c r="AE581" s="5">
        <v>2.8245831951936664E-2</v>
      </c>
      <c r="AL581" s="7">
        <v>-0.97430729703192065</v>
      </c>
      <c r="AN581" s="7">
        <v>-0.96980349504452812</v>
      </c>
      <c r="AO581" s="7">
        <v>-0.94865719475308019</v>
      </c>
      <c r="AP581" s="7">
        <v>-0.49958513477171573</v>
      </c>
      <c r="AQ581" s="7">
        <v>-0.41186491836101136</v>
      </c>
      <c r="AR581" s="7">
        <v>-0.14914977723527345</v>
      </c>
      <c r="AS581" s="7">
        <v>-0.97518106341767674</v>
      </c>
      <c r="AT581" s="8">
        <v>-9.6059408494241286E-2</v>
      </c>
    </row>
    <row r="582" spans="1:46" x14ac:dyDescent="0.3">
      <c r="A582" t="str">
        <f t="shared" si="24"/>
        <v>202410 &amp; Segm SDC &gt; Non affecté</v>
      </c>
      <c r="B582">
        <v>202410</v>
      </c>
      <c r="C582" t="s">
        <v>59</v>
      </c>
      <c r="D582" t="s">
        <v>34</v>
      </c>
      <c r="E582" s="4">
        <v>0</v>
      </c>
      <c r="F582" s="4">
        <v>7684668.8009008998</v>
      </c>
      <c r="H582" s="2">
        <v>207307.20720720719</v>
      </c>
      <c r="I582" s="2">
        <v>255701.25</v>
      </c>
      <c r="J582" s="3">
        <v>30.053309480891862</v>
      </c>
      <c r="K582" s="6">
        <v>0.81073990528871953</v>
      </c>
      <c r="L582" s="3">
        <v>37.068990048281044</v>
      </c>
      <c r="M582" s="53">
        <v>2.6664739750226808E-2</v>
      </c>
      <c r="N582" s="53">
        <v>6.1966380918713142E-2</v>
      </c>
      <c r="O582" s="4">
        <v>265690.65292792808</v>
      </c>
      <c r="P582" s="5">
        <v>3.4574118912812514E-2</v>
      </c>
      <c r="V582" s="4">
        <v>0</v>
      </c>
      <c r="W582" s="4">
        <v>6412563.9075225191</v>
      </c>
      <c r="Y582" s="2">
        <v>164160.58558558556</v>
      </c>
      <c r="Z582" s="2">
        <v>193494</v>
      </c>
      <c r="AA582" s="3">
        <v>33.140892779737456</v>
      </c>
      <c r="AB582" s="6">
        <v>0.84840142632632309</v>
      </c>
      <c r="AC582" s="3">
        <v>39.062749956988377</v>
      </c>
      <c r="AD582" s="4">
        <v>174968.33155405405</v>
      </c>
      <c r="AE582" s="5">
        <v>2.7285237866994251E-2</v>
      </c>
      <c r="AL582" s="7">
        <v>0.19837695369960939</v>
      </c>
      <c r="AN582" s="7">
        <v>0.26283179648580757</v>
      </c>
      <c r="AO582" s="7">
        <v>0.32149446494464939</v>
      </c>
      <c r="AP582" s="7">
        <v>-9.3165362785077477E-2</v>
      </c>
      <c r="AQ582" s="7">
        <v>-4.4391157144421989E-2</v>
      </c>
      <c r="AR582" s="7">
        <v>-5.1039927063574408E-2</v>
      </c>
      <c r="AS582" s="7">
        <v>0.51850709535883421</v>
      </c>
      <c r="AT582" s="8">
        <v>0.72888810458182629</v>
      </c>
    </row>
    <row r="583" spans="1:46" x14ac:dyDescent="0.3">
      <c r="A583" t="str">
        <f t="shared" si="24"/>
        <v>202406 &amp; Segm SDC &gt; Non affecté</v>
      </c>
      <c r="B583">
        <v>202406</v>
      </c>
      <c r="C583" t="s">
        <v>59</v>
      </c>
      <c r="D583" t="s">
        <v>34</v>
      </c>
      <c r="E583" s="4">
        <v>0</v>
      </c>
      <c r="F583" s="4">
        <v>12536226.529414419</v>
      </c>
      <c r="H583" s="2">
        <v>307346.84684684681</v>
      </c>
      <c r="I583" s="2">
        <v>328836</v>
      </c>
      <c r="J583" s="3">
        <v>38.123035584347271</v>
      </c>
      <c r="K583" s="6">
        <v>0.93465084980612467</v>
      </c>
      <c r="L583" s="3">
        <v>40.788531452419008</v>
      </c>
      <c r="M583" s="53">
        <v>4.5116815659911609E-2</v>
      </c>
      <c r="N583" s="53">
        <v>8.1442776181338938E-2</v>
      </c>
      <c r="O583" s="4">
        <v>332383.79018018028</v>
      </c>
      <c r="P583" s="5">
        <v>2.6513862795976957E-2</v>
      </c>
      <c r="V583" s="4">
        <v>0</v>
      </c>
      <c r="W583" s="4">
        <v>5970321.4646846848</v>
      </c>
      <c r="Y583" s="2">
        <v>154415.3153153153</v>
      </c>
      <c r="Z583" s="2">
        <v>192769.5</v>
      </c>
      <c r="AA583" s="3">
        <v>30.9712971434002</v>
      </c>
      <c r="AB583" s="6">
        <v>0.8010360317130838</v>
      </c>
      <c r="AC583" s="3">
        <v>38.664049951867263</v>
      </c>
      <c r="AD583" s="4">
        <v>148339.69581081084</v>
      </c>
      <c r="AE583" s="5">
        <v>2.484618235186524E-2</v>
      </c>
      <c r="AL583" s="7">
        <v>1.0997573754726631</v>
      </c>
      <c r="AN583" s="7">
        <v>0.99039095454518944</v>
      </c>
      <c r="AO583" s="7">
        <v>0.7058507699610157</v>
      </c>
      <c r="AP583" s="7">
        <v>0.23091504394645823</v>
      </c>
      <c r="AQ583" s="7">
        <v>0.16680250675777253</v>
      </c>
      <c r="AR583" s="7">
        <v>5.4947205561665324E-2</v>
      </c>
      <c r="AS583" s="7">
        <v>1.2406934864157684</v>
      </c>
      <c r="AT583" s="8">
        <v>0.16676804441117174</v>
      </c>
    </row>
    <row r="584" spans="1:46" x14ac:dyDescent="0.3">
      <c r="A584" t="str">
        <f t="shared" si="24"/>
        <v>202303 &amp; Segm SDC &gt; Non affecté</v>
      </c>
      <c r="B584">
        <v>202303</v>
      </c>
      <c r="C584" t="s">
        <v>59</v>
      </c>
      <c r="D584" t="s">
        <v>34</v>
      </c>
      <c r="E584" s="4">
        <v>0</v>
      </c>
      <c r="F584" s="4">
        <v>7327375.0797297293</v>
      </c>
      <c r="H584" s="2">
        <v>193570.72072072071</v>
      </c>
      <c r="I584" s="2">
        <v>231604.5</v>
      </c>
      <c r="J584" s="3">
        <v>31.637446939630834</v>
      </c>
      <c r="K584" s="6">
        <v>0.83578134587506159</v>
      </c>
      <c r="L584" s="3">
        <v>37.853736621157154</v>
      </c>
      <c r="M584" s="53">
        <v>2.7594202782526618E-2</v>
      </c>
      <c r="N584" s="53">
        <v>5.9863746711483479E-2</v>
      </c>
      <c r="O584" s="4">
        <v>215721.07308558567</v>
      </c>
      <c r="P584" s="5">
        <v>2.9440429995504277E-2</v>
      </c>
      <c r="V584" s="4">
        <v>0</v>
      </c>
      <c r="W584" s="4">
        <v>242319399.15045071</v>
      </c>
      <c r="Y584" s="2">
        <v>5310265.3153153146</v>
      </c>
      <c r="Z584" s="2">
        <v>3690002.25</v>
      </c>
      <c r="AA584" s="3">
        <v>65.669173819731597</v>
      </c>
      <c r="AB584" s="6">
        <v>1.4390954139161607</v>
      </c>
      <c r="AC584" s="3">
        <v>45.632258420606277</v>
      </c>
      <c r="AD584" s="4">
        <v>6398631.3769310834</v>
      </c>
      <c r="AE584" s="5">
        <v>2.6405774359643058E-2</v>
      </c>
      <c r="AL584" s="7">
        <v>-0.96976150029498742</v>
      </c>
      <c r="AN584" s="7">
        <v>-0.96354782497167435</v>
      </c>
      <c r="AO584" s="7">
        <v>-0.93723459111711926</v>
      </c>
      <c r="AP584" s="7">
        <v>-0.51822986190630682</v>
      </c>
      <c r="AQ584" s="7">
        <v>-0.41923145762748371</v>
      </c>
      <c r="AR584" s="7">
        <v>-0.1704610306102351</v>
      </c>
      <c r="AS584" s="7">
        <v>-0.96628637276038087</v>
      </c>
      <c r="AT584" s="8">
        <v>0.30346556358612187</v>
      </c>
    </row>
    <row r="585" spans="1:46" x14ac:dyDescent="0.3">
      <c r="A585" t="str">
        <f t="shared" si="24"/>
        <v>202307 &amp; Segm SDC &gt; Non affecté</v>
      </c>
      <c r="B585">
        <v>202307</v>
      </c>
      <c r="C585" t="s">
        <v>59</v>
      </c>
      <c r="D585" t="s">
        <v>34</v>
      </c>
      <c r="E585" s="4">
        <v>0</v>
      </c>
      <c r="F585" s="4">
        <v>6202654.201036036</v>
      </c>
      <c r="H585" s="2">
        <v>150396.39639639639</v>
      </c>
      <c r="I585" s="2">
        <v>182988.75</v>
      </c>
      <c r="J585" s="3">
        <v>33.896369044742016</v>
      </c>
      <c r="K585" s="6">
        <v>0.82188875762251168</v>
      </c>
      <c r="L585" s="3">
        <v>41.24204003324548</v>
      </c>
      <c r="M585" s="53">
        <v>2.2495586899393506E-2</v>
      </c>
      <c r="N585" s="53">
        <v>4.6645628959386745E-2</v>
      </c>
      <c r="O585" s="4">
        <v>103241.04479729726</v>
      </c>
      <c r="P585" s="5">
        <v>1.6644655892642347E-2</v>
      </c>
      <c r="V585" s="4">
        <v>0</v>
      </c>
      <c r="W585" s="4">
        <v>250652518.72072074</v>
      </c>
      <c r="Y585" s="2">
        <v>5354706.5315315314</v>
      </c>
      <c r="Z585" s="2">
        <v>3727943.25</v>
      </c>
      <c r="AA585" s="3">
        <v>67.236141194134518</v>
      </c>
      <c r="AB585" s="6">
        <v>1.4363701838893421</v>
      </c>
      <c r="AC585" s="3">
        <v>46.809758339647068</v>
      </c>
      <c r="AD585" s="4">
        <v>4834895.7273560688</v>
      </c>
      <c r="AE585" s="5">
        <v>1.9289236557575359E-2</v>
      </c>
      <c r="AL585" s="7">
        <v>-0.97525397218151599</v>
      </c>
      <c r="AN585" s="7">
        <v>-0.9719132326840364</v>
      </c>
      <c r="AO585" s="7">
        <v>-0.95091428765714181</v>
      </c>
      <c r="AP585" s="7">
        <v>-0.49586088013481899</v>
      </c>
      <c r="AQ585" s="7">
        <v>-0.42780157452375112</v>
      </c>
      <c r="AR585" s="7">
        <v>-0.11894353878101149</v>
      </c>
      <c r="AS585" s="7">
        <v>-0.97864668637771146</v>
      </c>
      <c r="AT585" s="8">
        <v>-0.26445806649330117</v>
      </c>
    </row>
    <row r="586" spans="1:46" x14ac:dyDescent="0.3">
      <c r="A586" t="str">
        <f t="shared" si="24"/>
        <v>202311 &amp; Segm SDC &gt; Non affecté</v>
      </c>
      <c r="B586">
        <v>202311</v>
      </c>
      <c r="C586" t="s">
        <v>59</v>
      </c>
      <c r="D586" t="s">
        <v>34</v>
      </c>
      <c r="E586" s="4">
        <v>0</v>
      </c>
      <c r="F586" s="4">
        <v>7138771.6349999988</v>
      </c>
      <c r="H586" s="2">
        <v>173345.27027027027</v>
      </c>
      <c r="I586" s="2">
        <v>205482.75</v>
      </c>
      <c r="J586" s="3">
        <v>34.741464356497076</v>
      </c>
      <c r="K586" s="6">
        <v>0.84360010886690129</v>
      </c>
      <c r="L586" s="3">
        <v>41.182384866166956</v>
      </c>
      <c r="M586" s="53">
        <v>2.6295826551478423E-2</v>
      </c>
      <c r="N586" s="53">
        <v>5.2334146045154788E-2</v>
      </c>
      <c r="O586" s="4">
        <v>462476.25342342327</v>
      </c>
      <c r="P586" s="5">
        <v>6.4783729900532577E-2</v>
      </c>
      <c r="V586" s="4">
        <v>0</v>
      </c>
      <c r="W586" s="4">
        <v>249169521.93112585</v>
      </c>
      <c r="Y586" s="2">
        <v>5270052.9279279271</v>
      </c>
      <c r="Z586" s="2">
        <v>3766113.75</v>
      </c>
      <c r="AA586" s="3">
        <v>66.160912407684407</v>
      </c>
      <c r="AB586" s="6">
        <v>1.3993345070705649</v>
      </c>
      <c r="AC586" s="3">
        <v>47.280269351885622</v>
      </c>
      <c r="AD586" s="4">
        <v>10384547.769527018</v>
      </c>
      <c r="AE586" s="5">
        <v>4.1676637210860248E-2</v>
      </c>
      <c r="AL586" s="7">
        <v>-0.97134973980897532</v>
      </c>
      <c r="AN586" s="7">
        <v>-0.96710748968921156</v>
      </c>
      <c r="AO586" s="7">
        <v>-0.94543904840898663</v>
      </c>
      <c r="AP586" s="7">
        <v>-0.4748944188916302</v>
      </c>
      <c r="AQ586" s="7">
        <v>-0.39714192381853364</v>
      </c>
      <c r="AR586" s="7">
        <v>-0.12897313338752103</v>
      </c>
      <c r="AS586" s="7">
        <v>-0.9554649596990118</v>
      </c>
      <c r="AT586" s="8">
        <v>2.3107092689672331</v>
      </c>
    </row>
    <row r="587" spans="1:46" x14ac:dyDescent="0.3">
      <c r="A587" t="str">
        <f t="shared" si="24"/>
        <v>202312 &amp; Segm SDC &gt; Non affecté</v>
      </c>
      <c r="B587">
        <v>202312</v>
      </c>
      <c r="C587" t="s">
        <v>59</v>
      </c>
      <c r="D587" t="s">
        <v>34</v>
      </c>
      <c r="E587" s="4">
        <v>0</v>
      </c>
      <c r="F587" s="4">
        <v>8392465.8401351329</v>
      </c>
      <c r="H587" s="2">
        <v>190704.7297297297</v>
      </c>
      <c r="I587" s="2">
        <v>220793.25</v>
      </c>
      <c r="J587" s="3">
        <v>38.010518166362118</v>
      </c>
      <c r="K587" s="6">
        <v>0.86372536175689119</v>
      </c>
      <c r="L587" s="3">
        <v>44.007643921727016</v>
      </c>
      <c r="M587" s="53">
        <v>2.4656163620985518E-2</v>
      </c>
      <c r="N587" s="53">
        <v>5.3809830537719941E-2</v>
      </c>
      <c r="O587" s="4">
        <v>314288.84468468459</v>
      </c>
      <c r="P587" s="5">
        <v>3.744892748704045E-2</v>
      </c>
      <c r="V587" s="4">
        <v>0</v>
      </c>
      <c r="W587" s="4">
        <v>6188717.8622972993</v>
      </c>
      <c r="Y587" s="2">
        <v>134274.77477477476</v>
      </c>
      <c r="Z587" s="2">
        <v>151949.25</v>
      </c>
      <c r="AA587" s="3">
        <v>40.728847706041982</v>
      </c>
      <c r="AB587" s="6">
        <v>0.88368172119819455</v>
      </c>
      <c r="AC587" s="3">
        <v>46.089951539132493</v>
      </c>
      <c r="AD587" s="4">
        <v>241293.38204954957</v>
      </c>
      <c r="AE587" s="5">
        <v>3.89892361258782E-2</v>
      </c>
      <c r="AL587" s="7">
        <v>0.35609120125889615</v>
      </c>
      <c r="AN587" s="7">
        <v>0.4202573048408198</v>
      </c>
      <c r="AO587" s="7">
        <v>0.45307232513487228</v>
      </c>
      <c r="AP587" s="7">
        <v>-6.6742117510891652E-2</v>
      </c>
      <c r="AQ587" s="7">
        <v>-2.2583198183893982E-2</v>
      </c>
      <c r="AR587" s="7">
        <v>-4.5179210389004187E-2</v>
      </c>
      <c r="AS587" s="7">
        <v>0.30251746655921719</v>
      </c>
      <c r="AT587" s="8">
        <v>-0.15403086388377507</v>
      </c>
    </row>
    <row r="588" spans="1:46" x14ac:dyDescent="0.3">
      <c r="A588" t="str">
        <f t="shared" si="24"/>
        <v>202403 &amp; Segm SDC &gt; Non affecté</v>
      </c>
      <c r="B588">
        <v>202403</v>
      </c>
      <c r="C588" t="s">
        <v>59</v>
      </c>
      <c r="D588" t="s">
        <v>34</v>
      </c>
      <c r="E588" s="4">
        <v>0</v>
      </c>
      <c r="F588" s="4">
        <v>7490547.4412162136</v>
      </c>
      <c r="H588" s="2">
        <v>190769.14414414411</v>
      </c>
      <c r="I588" s="2">
        <v>235425.75</v>
      </c>
      <c r="J588" s="3">
        <v>31.817026987133794</v>
      </c>
      <c r="K588" s="6">
        <v>0.81031554171174613</v>
      </c>
      <c r="L588" s="3">
        <v>39.264984255296532</v>
      </c>
      <c r="M588" s="53">
        <v>2.6004150455202234E-2</v>
      </c>
      <c r="N588" s="53">
        <v>5.8120343351453836E-2</v>
      </c>
      <c r="O588" s="4">
        <v>201577.68186936941</v>
      </c>
      <c r="P588" s="5">
        <v>2.6910941216419283E-2</v>
      </c>
      <c r="V588" s="4">
        <v>0</v>
      </c>
      <c r="W588" s="4">
        <v>7327375.0797297293</v>
      </c>
      <c r="Y588" s="2">
        <v>193570.72072072071</v>
      </c>
      <c r="Z588" s="2">
        <v>231604.5</v>
      </c>
      <c r="AA588" s="3">
        <v>31.637446939630834</v>
      </c>
      <c r="AB588" s="6">
        <v>0.83578134587506159</v>
      </c>
      <c r="AC588" s="3">
        <v>37.853736621157154</v>
      </c>
      <c r="AD588" s="4">
        <v>215721.07308558567</v>
      </c>
      <c r="AE588" s="5">
        <v>2.9440429995504277E-2</v>
      </c>
      <c r="AL588" s="7">
        <v>2.2268869780923461E-2</v>
      </c>
      <c r="AN588" s="7">
        <v>-1.4473142250777893E-2</v>
      </c>
      <c r="AO588" s="7">
        <v>1.6499031754564353E-2</v>
      </c>
      <c r="AP588" s="7">
        <v>5.6761864459424771E-3</v>
      </c>
      <c r="AQ588" s="7">
        <v>-3.0469457459178839E-2</v>
      </c>
      <c r="AR588" s="7">
        <v>3.7281593842722671E-2</v>
      </c>
      <c r="AS588" s="7">
        <v>-6.5563326817890344E-2</v>
      </c>
      <c r="AT588" s="8">
        <v>-0.2529488779084994</v>
      </c>
    </row>
    <row r="589" spans="1:46" x14ac:dyDescent="0.3">
      <c r="A589" t="str">
        <f t="shared" si="24"/>
        <v>202409 &amp; Segm SDC &gt; Non affecté</v>
      </c>
      <c r="B589">
        <v>202409</v>
      </c>
      <c r="C589" t="s">
        <v>59</v>
      </c>
      <c r="D589" t="s">
        <v>34</v>
      </c>
      <c r="E589" s="4">
        <v>0</v>
      </c>
      <c r="F589" s="4">
        <v>15841855.74418919</v>
      </c>
      <c r="H589" s="2">
        <v>396823.87387387385</v>
      </c>
      <c r="I589" s="2">
        <v>403817.25</v>
      </c>
      <c r="J589" s="3">
        <v>39.230260084702152</v>
      </c>
      <c r="K589" s="6">
        <v>0.98268182915384084</v>
      </c>
      <c r="L589" s="3">
        <v>39.921629688097724</v>
      </c>
      <c r="M589" s="53">
        <v>6.0268555435432559E-2</v>
      </c>
      <c r="N589" s="53">
        <v>0.1001976325040336</v>
      </c>
      <c r="O589" s="4">
        <v>454993.22035923408</v>
      </c>
      <c r="P589" s="5">
        <v>2.8720954647382526E-2</v>
      </c>
      <c r="V589" s="4">
        <v>0</v>
      </c>
      <c r="W589" s="4">
        <v>6137662.9182882905</v>
      </c>
      <c r="Y589" s="2">
        <v>153485.13513513512</v>
      </c>
      <c r="Z589" s="2">
        <v>185665.5</v>
      </c>
      <c r="AA589" s="3">
        <v>33.057638162654293</v>
      </c>
      <c r="AB589" s="6">
        <v>0.82667558127457774</v>
      </c>
      <c r="AC589" s="3">
        <v>39.988647192996375</v>
      </c>
      <c r="AD589" s="4">
        <v>176572.18927927935</v>
      </c>
      <c r="AE589" s="5">
        <v>2.8768635819531596E-2</v>
      </c>
      <c r="AL589" s="7">
        <v>1.5810892444069355</v>
      </c>
      <c r="AN589" s="7">
        <v>1.5854221877870618</v>
      </c>
      <c r="AO589" s="7">
        <v>1.1749719253173043</v>
      </c>
      <c r="AP589" s="7">
        <v>0.1867230166800351</v>
      </c>
      <c r="AQ589" s="7">
        <v>0.18871520027086186</v>
      </c>
      <c r="AR589" s="7">
        <v>-1.6759132804670118E-3</v>
      </c>
      <c r="AS589" s="7">
        <v>1.576811343940375</v>
      </c>
      <c r="AT589" s="8">
        <v>-4.7681172149070111E-3</v>
      </c>
    </row>
    <row r="590" spans="1:46" x14ac:dyDescent="0.3">
      <c r="A590" t="str">
        <f t="shared" si="24"/>
        <v>202407 &amp; Segm SDC &gt; Non affecté</v>
      </c>
      <c r="B590">
        <v>202407</v>
      </c>
      <c r="C590" t="s">
        <v>59</v>
      </c>
      <c r="D590" t="s">
        <v>34</v>
      </c>
      <c r="E590" s="4">
        <v>0</v>
      </c>
      <c r="F590" s="4">
        <v>14528920.396441445</v>
      </c>
      <c r="H590" s="2">
        <v>347170.27027027024</v>
      </c>
      <c r="I590" s="2">
        <v>351974.25</v>
      </c>
      <c r="J590" s="3">
        <v>41.278361688224194</v>
      </c>
      <c r="K590" s="6">
        <v>0.98635133186666424</v>
      </c>
      <c r="L590" s="3">
        <v>41.84955233963656</v>
      </c>
      <c r="M590" s="53">
        <v>5.0587573473916202E-2</v>
      </c>
      <c r="N590" s="53">
        <v>8.6480313754858651E-2</v>
      </c>
      <c r="O590" s="4">
        <v>248582.18297297307</v>
      </c>
      <c r="P590" s="5">
        <v>1.7109473807417796E-2</v>
      </c>
      <c r="V590" s="4">
        <v>0</v>
      </c>
      <c r="W590" s="4">
        <v>6202654.201036036</v>
      </c>
      <c r="Y590" s="2">
        <v>150396.39639639639</v>
      </c>
      <c r="Z590" s="2">
        <v>182988.75</v>
      </c>
      <c r="AA590" s="3">
        <v>33.896369044742016</v>
      </c>
      <c r="AB590" s="6">
        <v>0.82188875762251168</v>
      </c>
      <c r="AC590" s="3">
        <v>41.24204003324548</v>
      </c>
      <c r="AD590" s="4">
        <v>103241.04479729726</v>
      </c>
      <c r="AE590" s="5">
        <v>1.6644655892642347E-2</v>
      </c>
      <c r="AL590" s="7">
        <v>1.3423714954179879</v>
      </c>
      <c r="AN590" s="7">
        <v>1.308368276027315</v>
      </c>
      <c r="AO590" s="7">
        <v>0.92347480377892088</v>
      </c>
      <c r="AP590" s="7">
        <v>0.2177812211608332</v>
      </c>
      <c r="AQ590" s="7">
        <v>0.20010320462333087</v>
      </c>
      <c r="AR590" s="7">
        <v>1.4730413575598122E-2</v>
      </c>
      <c r="AS590" s="7">
        <v>1.4077844568605205</v>
      </c>
      <c r="AT590" s="8">
        <v>4.6481791477544915E-2</v>
      </c>
    </row>
  </sheetData>
  <autoFilter ref="A1:AY590" xr:uid="{00000000-0001-0000-0000-000000000000}">
    <sortState xmlns:xlrd2="http://schemas.microsoft.com/office/spreadsheetml/2017/richdata2" ref="A2:AY590">
      <sortCondition descending="1" ref="C1:C590"/>
    </sortState>
  </autoFilter>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Newsletter Carte Glow</vt:lpstr>
      <vt:lpstr>Lexique</vt:lpstr>
      <vt:lpstr>Données sources</vt:lpstr>
      <vt:lpstr>Données brutes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Heloise VAN RENTERGHEM</dc:creator>
  <cp:lastModifiedBy>Heloise VAN RENTERGHEM</cp:lastModifiedBy>
  <dcterms:created xsi:type="dcterms:W3CDTF">2015-06-05T18:19:34Z</dcterms:created>
  <dcterms:modified xsi:type="dcterms:W3CDTF">2025-01-10T16:43:35Z</dcterms:modified>
</cp:coreProperties>
</file>